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Z:\Personalangelegenheiten\Checklisten_Infomaterialien_Vorlagen\"/>
    </mc:Choice>
  </mc:AlternateContent>
  <bookViews>
    <workbookView xWindow="0" yWindow="0" windowWidth="28800" windowHeight="14100" tabRatio="500"/>
  </bookViews>
  <sheets>
    <sheet name="Setup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April!$A$1:$G$46</definedName>
    <definedName name="_xlnm.Print_Area" localSheetId="8">August!$A$1:$G$47</definedName>
    <definedName name="_xlnm.Print_Area" localSheetId="12">Dezember!$A$1:$G$47</definedName>
    <definedName name="_xlnm.Print_Area" localSheetId="2">Februar!$A$1:$G$44</definedName>
    <definedName name="_xlnm.Print_Area" localSheetId="1">Januar!$A$1:$G$47</definedName>
    <definedName name="_xlnm.Print_Area" localSheetId="7">Juli!$A$1:$G$47</definedName>
    <definedName name="_xlnm.Print_Area" localSheetId="6">Juni!$A$1:$G$46</definedName>
    <definedName name="_xlnm.Print_Area" localSheetId="5">Mai!$A$1:$G$47</definedName>
    <definedName name="_xlnm.Print_Area" localSheetId="3">März!$A$1:$G$47</definedName>
    <definedName name="_xlnm.Print_Area" localSheetId="11">November!$A$1:$G$46</definedName>
    <definedName name="_xlnm.Print_Area" localSheetId="10">Oktober!$A$1:$G$47</definedName>
    <definedName name="_xlnm.Print_Area" localSheetId="9">September!$A$1:$G$46</definedName>
    <definedName name="Print_Area_0" localSheetId="4">April!$A$1:$G$46</definedName>
    <definedName name="Print_Area_0" localSheetId="8">August!$A$1:$G$47</definedName>
    <definedName name="Print_Area_0" localSheetId="12">Dezember!$A$1:$G$47</definedName>
    <definedName name="Print_Area_0" localSheetId="2">Februar!$A$1:$G$44</definedName>
    <definedName name="Print_Area_0" localSheetId="1">Januar!$A$1:$G$47</definedName>
    <definedName name="Print_Area_0" localSheetId="7">Juli!$A$1:$G$47</definedName>
    <definedName name="Print_Area_0" localSheetId="6">Juni!$A$1:$G$46</definedName>
    <definedName name="Print_Area_0" localSheetId="5">Mai!$A$1:$G$47</definedName>
    <definedName name="Print_Area_0" localSheetId="3">März!$A$1:$G$47</definedName>
    <definedName name="Print_Area_0" localSheetId="11">November!$A$1:$G$46</definedName>
    <definedName name="Print_Area_0" localSheetId="10">Oktober!$A$1:$G$47</definedName>
    <definedName name="Print_Area_0" localSheetId="9">September!$A$1:$G$46</definedName>
    <definedName name="Print_Area_0_0" localSheetId="4">April!$A$1:$G$46</definedName>
    <definedName name="Print_Area_0_0" localSheetId="8">August!$A$1:$G$47</definedName>
    <definedName name="Print_Area_0_0" localSheetId="12">Dezember!$A$1:$G$47</definedName>
    <definedName name="Print_Area_0_0" localSheetId="2">Februar!$A$1:$G$44</definedName>
    <definedName name="Print_Area_0_0" localSheetId="1">Januar!$A$1:$G$47</definedName>
    <definedName name="Print_Area_0_0" localSheetId="7">Juli!$A$1:$G$47</definedName>
    <definedName name="Print_Area_0_0" localSheetId="6">Juni!$A$1:$G$46</definedName>
    <definedName name="Print_Area_0_0" localSheetId="5">Mai!$A$1:$G$47</definedName>
    <definedName name="Print_Area_0_0" localSheetId="3">März!$A$1:$G$47</definedName>
    <definedName name="Print_Area_0_0" localSheetId="11">November!$A$1:$G$46</definedName>
    <definedName name="Print_Area_0_0" localSheetId="10">Oktober!$A$1:$G$47</definedName>
    <definedName name="Print_Area_0_0" localSheetId="9">September!$A$1:$G$46</definedName>
    <definedName name="Vormonat">"$F$6"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" i="7" l="1"/>
  <c r="E47" i="13" l="1"/>
  <c r="E46" i="13"/>
  <c r="E45" i="13"/>
  <c r="D38" i="13"/>
  <c r="D37" i="13"/>
  <c r="E37" i="13" s="1"/>
  <c r="D36" i="13"/>
  <c r="E36" i="13" s="1"/>
  <c r="D35" i="13"/>
  <c r="E35" i="13" s="1"/>
  <c r="D34" i="13"/>
  <c r="E34" i="13" s="1"/>
  <c r="D33" i="13"/>
  <c r="D32" i="13"/>
  <c r="E32" i="13" s="1"/>
  <c r="D31" i="13"/>
  <c r="E31" i="13" s="1"/>
  <c r="D30" i="13"/>
  <c r="E30" i="13" s="1"/>
  <c r="D29" i="13"/>
  <c r="E29" i="13" s="1"/>
  <c r="D28" i="13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D19" i="13"/>
  <c r="E19" i="13" s="1"/>
  <c r="D18" i="13"/>
  <c r="E18" i="13" s="1"/>
  <c r="D17" i="13"/>
  <c r="E17" i="13" s="1"/>
  <c r="D16" i="13"/>
  <c r="E16" i="13" s="1"/>
  <c r="D15" i="13"/>
  <c r="E15" i="13" s="1"/>
  <c r="D14" i="13"/>
  <c r="E14" i="13" s="1"/>
  <c r="D13" i="13"/>
  <c r="E13" i="13" s="1"/>
  <c r="D12" i="13"/>
  <c r="D11" i="13"/>
  <c r="E11" i="13" s="1"/>
  <c r="D10" i="13"/>
  <c r="E10" i="13" s="1"/>
  <c r="D9" i="13"/>
  <c r="E9" i="13" s="1"/>
  <c r="D8" i="13"/>
  <c r="E8" i="13" s="1"/>
  <c r="F4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F3" i="13"/>
  <c r="F2" i="13"/>
  <c r="F1" i="13"/>
  <c r="E46" i="12"/>
  <c r="E45" i="12"/>
  <c r="E44" i="12"/>
  <c r="D37" i="12"/>
  <c r="E37" i="12" s="1"/>
  <c r="D36" i="12"/>
  <c r="E36" i="12" s="1"/>
  <c r="D35" i="12"/>
  <c r="E35" i="12" s="1"/>
  <c r="D34" i="12"/>
  <c r="E34" i="12" s="1"/>
  <c r="D33" i="12"/>
  <c r="E33" i="12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F4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F3" i="12"/>
  <c r="F2" i="12"/>
  <c r="F1" i="12"/>
  <c r="E47" i="11"/>
  <c r="E46" i="11"/>
  <c r="E45" i="11"/>
  <c r="D38" i="11"/>
  <c r="D37" i="11"/>
  <c r="E37" i="11" s="1"/>
  <c r="D36" i="11"/>
  <c r="E36" i="11" s="1"/>
  <c r="D35" i="1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H10" i="11"/>
  <c r="D10" i="11"/>
  <c r="E10" i="11" s="1"/>
  <c r="D9" i="11"/>
  <c r="E9" i="11" s="1"/>
  <c r="D8" i="11"/>
  <c r="E8" i="11" s="1"/>
  <c r="F4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F3" i="11"/>
  <c r="F2" i="11"/>
  <c r="F1" i="11"/>
  <c r="E46" i="10"/>
  <c r="E45" i="10"/>
  <c r="E44" i="10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D29" i="10"/>
  <c r="E29" i="10" s="1"/>
  <c r="D28" i="10"/>
  <c r="E28" i="10" s="1"/>
  <c r="D27" i="10"/>
  <c r="E27" i="10" s="1"/>
  <c r="D26" i="10"/>
  <c r="E26" i="10" s="1"/>
  <c r="D25" i="10"/>
  <c r="D24" i="10"/>
  <c r="E24" i="10" s="1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F4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F3" i="10"/>
  <c r="F2" i="10"/>
  <c r="F1" i="10"/>
  <c r="E47" i="9"/>
  <c r="E46" i="9"/>
  <c r="E45" i="9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9" i="9"/>
  <c r="E19" i="9" s="1"/>
  <c r="D18" i="9"/>
  <c r="E18" i="9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8" i="9"/>
  <c r="E8" i="9" s="1"/>
  <c r="F4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F3" i="9"/>
  <c r="F2" i="9"/>
  <c r="F1" i="9"/>
  <c r="E47" i="8"/>
  <c r="E46" i="8"/>
  <c r="E45" i="8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F4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F3" i="8"/>
  <c r="F2" i="8"/>
  <c r="F1" i="8"/>
  <c r="E46" i="7"/>
  <c r="E45" i="7"/>
  <c r="E44" i="7"/>
  <c r="D37" i="7"/>
  <c r="D36" i="7"/>
  <c r="E36" i="7" s="1"/>
  <c r="D35" i="7"/>
  <c r="D34" i="7"/>
  <c r="E34" i="7" s="1"/>
  <c r="D33" i="7"/>
  <c r="D32" i="7"/>
  <c r="E32" i="7" s="1"/>
  <c r="D31" i="7"/>
  <c r="D30" i="7"/>
  <c r="E30" i="7" s="1"/>
  <c r="D29" i="7"/>
  <c r="D28" i="7"/>
  <c r="E28" i="7" s="1"/>
  <c r="D27" i="7"/>
  <c r="D26" i="7"/>
  <c r="E26" i="7" s="1"/>
  <c r="D25" i="7"/>
  <c r="D24" i="7"/>
  <c r="E24" i="7" s="1"/>
  <c r="D23" i="7"/>
  <c r="D22" i="7"/>
  <c r="E22" i="7" s="1"/>
  <c r="D21" i="7"/>
  <c r="D20" i="7"/>
  <c r="E20" i="7" s="1"/>
  <c r="D19" i="7"/>
  <c r="D18" i="7"/>
  <c r="E18" i="7" s="1"/>
  <c r="D17" i="7"/>
  <c r="D16" i="7"/>
  <c r="E16" i="7" s="1"/>
  <c r="D15" i="7"/>
  <c r="D14" i="7"/>
  <c r="E14" i="7" s="1"/>
  <c r="D13" i="7"/>
  <c r="D12" i="7"/>
  <c r="E12" i="7" s="1"/>
  <c r="D11" i="7"/>
  <c r="D10" i="7"/>
  <c r="E10" i="7" s="1"/>
  <c r="D9" i="7"/>
  <c r="D8" i="7"/>
  <c r="E8" i="7" s="1"/>
  <c r="F4" i="7"/>
  <c r="A8" i="7" s="1"/>
  <c r="A9" i="7" s="1"/>
  <c r="F3" i="7"/>
  <c r="F2" i="7"/>
  <c r="F1" i="7"/>
  <c r="E47" i="6"/>
  <c r="E46" i="6"/>
  <c r="E45" i="6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H8" i="6"/>
  <c r="D8" i="6"/>
  <c r="E8" i="6" s="1"/>
  <c r="F4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F3" i="6"/>
  <c r="F2" i="6"/>
  <c r="F1" i="6"/>
  <c r="E46" i="5"/>
  <c r="E45" i="5"/>
  <c r="E44" i="5"/>
  <c r="D37" i="5"/>
  <c r="D36" i="5"/>
  <c r="E36" i="5" s="1"/>
  <c r="D35" i="5"/>
  <c r="D34" i="5"/>
  <c r="E34" i="5" s="1"/>
  <c r="D33" i="5"/>
  <c r="D32" i="5"/>
  <c r="E32" i="5" s="1"/>
  <c r="D31" i="5"/>
  <c r="D30" i="5"/>
  <c r="E30" i="5" s="1"/>
  <c r="D29" i="5"/>
  <c r="D28" i="5"/>
  <c r="E28" i="5" s="1"/>
  <c r="D27" i="5"/>
  <c r="D26" i="5"/>
  <c r="E26" i="5" s="1"/>
  <c r="D25" i="5"/>
  <c r="D24" i="5"/>
  <c r="D23" i="5"/>
  <c r="E23" i="5" s="1"/>
  <c r="D22" i="5"/>
  <c r="E22" i="5" s="1"/>
  <c r="D21" i="5"/>
  <c r="E21" i="5" s="1"/>
  <c r="D20" i="5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F4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3" i="5"/>
  <c r="F2" i="5"/>
  <c r="F1" i="5"/>
  <c r="E47" i="4"/>
  <c r="E46" i="4"/>
  <c r="E45" i="4"/>
  <c r="D38" i="4"/>
  <c r="D37" i="4"/>
  <c r="E37" i="4" s="1"/>
  <c r="D36" i="4"/>
  <c r="D35" i="4"/>
  <c r="E35" i="4" s="1"/>
  <c r="D34" i="4"/>
  <c r="D33" i="4"/>
  <c r="E33" i="4" s="1"/>
  <c r="D32" i="4"/>
  <c r="D31" i="4"/>
  <c r="E31" i="4" s="1"/>
  <c r="D30" i="4"/>
  <c r="D29" i="4"/>
  <c r="E29" i="4" s="1"/>
  <c r="D28" i="4"/>
  <c r="D27" i="4"/>
  <c r="E27" i="4" s="1"/>
  <c r="D26" i="4"/>
  <c r="D25" i="4"/>
  <c r="E25" i="4" s="1"/>
  <c r="D24" i="4"/>
  <c r="D23" i="4"/>
  <c r="E23" i="4" s="1"/>
  <c r="D22" i="4"/>
  <c r="D21" i="4"/>
  <c r="E21" i="4" s="1"/>
  <c r="D20" i="4"/>
  <c r="D19" i="4"/>
  <c r="E19" i="4" s="1"/>
  <c r="D18" i="4"/>
  <c r="D17" i="4"/>
  <c r="E17" i="4" s="1"/>
  <c r="D16" i="4"/>
  <c r="D15" i="4"/>
  <c r="E15" i="4" s="1"/>
  <c r="D14" i="4"/>
  <c r="D13" i="4"/>
  <c r="E13" i="4" s="1"/>
  <c r="D12" i="4"/>
  <c r="D11" i="4"/>
  <c r="E11" i="4" s="1"/>
  <c r="D10" i="4"/>
  <c r="E10" i="4" s="1"/>
  <c r="D9" i="4"/>
  <c r="E9" i="4" s="1"/>
  <c r="D8" i="4"/>
  <c r="E8" i="4" s="1"/>
  <c r="F4" i="4"/>
  <c r="A8" i="4" s="1"/>
  <c r="A9" i="4" s="1"/>
  <c r="F3" i="4"/>
  <c r="F2" i="4"/>
  <c r="F1" i="4"/>
  <c r="E44" i="3"/>
  <c r="E43" i="3"/>
  <c r="E42" i="3"/>
  <c r="D35" i="3"/>
  <c r="I35" i="3" s="1"/>
  <c r="D34" i="3"/>
  <c r="I34" i="3" s="1"/>
  <c r="D33" i="3"/>
  <c r="I33" i="3" s="1"/>
  <c r="D32" i="3"/>
  <c r="I32" i="3" s="1"/>
  <c r="D31" i="3"/>
  <c r="I31" i="3" s="1"/>
  <c r="D30" i="3"/>
  <c r="I30" i="3" s="1"/>
  <c r="D29" i="3"/>
  <c r="I29" i="3" s="1"/>
  <c r="D28" i="3"/>
  <c r="I28" i="3" s="1"/>
  <c r="D27" i="3"/>
  <c r="I27" i="3" s="1"/>
  <c r="D26" i="3"/>
  <c r="I26" i="3" s="1"/>
  <c r="D25" i="3"/>
  <c r="I25" i="3" s="1"/>
  <c r="D24" i="3"/>
  <c r="I24" i="3" s="1"/>
  <c r="D23" i="3"/>
  <c r="I23" i="3" s="1"/>
  <c r="D22" i="3"/>
  <c r="I22" i="3" s="1"/>
  <c r="D21" i="3"/>
  <c r="I21" i="3" s="1"/>
  <c r="D20" i="3"/>
  <c r="I20" i="3" s="1"/>
  <c r="D19" i="3"/>
  <c r="I19" i="3" s="1"/>
  <c r="D18" i="3"/>
  <c r="I18" i="3" s="1"/>
  <c r="D17" i="3"/>
  <c r="I17" i="3" s="1"/>
  <c r="D16" i="3"/>
  <c r="I16" i="3" s="1"/>
  <c r="D15" i="3"/>
  <c r="I15" i="3" s="1"/>
  <c r="D14" i="3"/>
  <c r="I14" i="3" s="1"/>
  <c r="D13" i="3"/>
  <c r="I13" i="3" s="1"/>
  <c r="D12" i="3"/>
  <c r="I12" i="3" s="1"/>
  <c r="D11" i="3"/>
  <c r="I11" i="3" s="1"/>
  <c r="D10" i="3"/>
  <c r="I10" i="3" s="1"/>
  <c r="D9" i="3"/>
  <c r="I9" i="3" s="1"/>
  <c r="D8" i="3"/>
  <c r="I8" i="3" s="1"/>
  <c r="F4" i="3"/>
  <c r="A8" i="3" s="1"/>
  <c r="A9" i="3" s="1"/>
  <c r="F3" i="3"/>
  <c r="F2" i="3"/>
  <c r="F1" i="3"/>
  <c r="E47" i="2"/>
  <c r="E46" i="2"/>
  <c r="E45" i="2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H8" i="2"/>
  <c r="D8" i="2"/>
  <c r="E8" i="2" s="1"/>
  <c r="F4" i="2"/>
  <c r="A8" i="2" s="1"/>
  <c r="A9" i="2" s="1"/>
  <c r="F3" i="2"/>
  <c r="F2" i="2"/>
  <c r="F1" i="2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X108" i="1"/>
  <c r="U108" i="1"/>
  <c r="U107" i="1"/>
  <c r="X106" i="1"/>
  <c r="U106" i="1"/>
  <c r="X105" i="1"/>
  <c r="U105" i="1"/>
  <c r="U104" i="1"/>
  <c r="U103" i="1"/>
  <c r="U102" i="1"/>
  <c r="U101" i="1"/>
  <c r="U100" i="1"/>
  <c r="Y99" i="1"/>
  <c r="U99" i="1"/>
  <c r="U98" i="1"/>
  <c r="Y97" i="1"/>
  <c r="U97" i="1"/>
  <c r="Y96" i="1"/>
  <c r="H32" i="13" s="1"/>
  <c r="U96" i="1"/>
  <c r="Y95" i="1"/>
  <c r="U95" i="1"/>
  <c r="Y94" i="1"/>
  <c r="U94" i="1"/>
  <c r="Y93" i="1"/>
  <c r="U93" i="1"/>
  <c r="Y92" i="1"/>
  <c r="U92" i="1"/>
  <c r="Y91" i="1"/>
  <c r="U91" i="1"/>
  <c r="U90" i="1"/>
  <c r="U89" i="1"/>
  <c r="U88" i="1"/>
  <c r="W87" i="1"/>
  <c r="U87" i="1"/>
  <c r="W86" i="1"/>
  <c r="U86" i="1"/>
  <c r="W85" i="1"/>
  <c r="U85" i="1"/>
  <c r="U84" i="1"/>
  <c r="U83" i="1"/>
  <c r="W82" i="1"/>
  <c r="U82" i="1"/>
  <c r="U81" i="1"/>
  <c r="U80" i="1"/>
  <c r="W79" i="1"/>
  <c r="U79" i="1"/>
  <c r="U78" i="1"/>
  <c r="U77" i="1"/>
  <c r="U76" i="1"/>
  <c r="U75" i="1"/>
  <c r="U74" i="1"/>
  <c r="U73" i="1"/>
  <c r="U72" i="1"/>
  <c r="U71" i="1"/>
  <c r="T63" i="1"/>
  <c r="W51" i="1"/>
  <c r="W53" i="1" s="1"/>
  <c r="H33" i="13" l="1"/>
  <c r="I33" i="13" s="1"/>
  <c r="A10" i="7"/>
  <c r="H11" i="11"/>
  <c r="I11" i="11" s="1"/>
  <c r="I32" i="13"/>
  <c r="E24" i="3"/>
  <c r="E32" i="3"/>
  <c r="E16" i="3"/>
  <c r="E8" i="3"/>
  <c r="E10" i="3"/>
  <c r="E26" i="3"/>
  <c r="E18" i="3"/>
  <c r="E34" i="3"/>
  <c r="E14" i="3"/>
  <c r="E22" i="3"/>
  <c r="E30" i="3"/>
  <c r="E12" i="3"/>
  <c r="E20" i="3"/>
  <c r="E28" i="3"/>
  <c r="H10" i="8"/>
  <c r="I10" i="8" s="1"/>
  <c r="E33" i="13"/>
  <c r="H8" i="11"/>
  <c r="H8" i="5"/>
  <c r="I8" i="5" s="1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H8" i="8"/>
  <c r="H9" i="2"/>
  <c r="I9" i="2" s="1"/>
  <c r="A10" i="2"/>
  <c r="F19" i="2"/>
  <c r="F17" i="2"/>
  <c r="F15" i="2"/>
  <c r="F13" i="2"/>
  <c r="F11" i="2"/>
  <c r="F9" i="2"/>
  <c r="F21" i="2"/>
  <c r="F20" i="2"/>
  <c r="F18" i="2"/>
  <c r="F16" i="2"/>
  <c r="F14" i="2"/>
  <c r="F12" i="2"/>
  <c r="F10" i="2"/>
  <c r="F8" i="2"/>
  <c r="H12" i="5"/>
  <c r="I12" i="5" s="1"/>
  <c r="W54" i="1"/>
  <c r="W55" i="1" s="1"/>
  <c r="H8" i="3"/>
  <c r="E22" i="2"/>
  <c r="F26" i="2" s="1"/>
  <c r="E30" i="2"/>
  <c r="H9" i="5"/>
  <c r="I9" i="5" s="1"/>
  <c r="E20" i="5"/>
  <c r="H8" i="4"/>
  <c r="I8" i="4" s="1"/>
  <c r="H10" i="5"/>
  <c r="I10" i="5" s="1"/>
  <c r="E15" i="10"/>
  <c r="I8" i="2"/>
  <c r="H11" i="5"/>
  <c r="I11" i="5" s="1"/>
  <c r="E24" i="5"/>
  <c r="H9" i="6"/>
  <c r="I9" i="6" s="1"/>
  <c r="E11" i="10"/>
  <c r="E19" i="10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25" i="5"/>
  <c r="H11" i="8"/>
  <c r="I11" i="8" s="1"/>
  <c r="H8" i="7"/>
  <c r="I8" i="7" s="1"/>
  <c r="H9" i="8"/>
  <c r="I9" i="8" s="1"/>
  <c r="E38" i="11"/>
  <c r="I8" i="8"/>
  <c r="H8" i="9"/>
  <c r="I8" i="9" s="1"/>
  <c r="E9" i="10"/>
  <c r="E13" i="10"/>
  <c r="E17" i="10"/>
  <c r="E21" i="10"/>
  <c r="E27" i="5"/>
  <c r="E29" i="5"/>
  <c r="E31" i="5"/>
  <c r="E33" i="5"/>
  <c r="E35" i="5"/>
  <c r="E37" i="5"/>
  <c r="E9" i="7"/>
  <c r="E11" i="7"/>
  <c r="E13" i="7"/>
  <c r="E15" i="7"/>
  <c r="E17" i="7"/>
  <c r="E19" i="7"/>
  <c r="E21" i="7"/>
  <c r="E23" i="7"/>
  <c r="E25" i="7"/>
  <c r="E27" i="7"/>
  <c r="E29" i="7"/>
  <c r="E31" i="7"/>
  <c r="E33" i="7"/>
  <c r="E35" i="7"/>
  <c r="E37" i="7"/>
  <c r="I8" i="6"/>
  <c r="H8" i="10"/>
  <c r="I8" i="10" s="1"/>
  <c r="E30" i="10"/>
  <c r="E12" i="13"/>
  <c r="E28" i="13"/>
  <c r="E8" i="10"/>
  <c r="E10" i="10"/>
  <c r="E12" i="10"/>
  <c r="E14" i="10"/>
  <c r="E16" i="10"/>
  <c r="E18" i="10"/>
  <c r="E20" i="10"/>
  <c r="E22" i="10"/>
  <c r="E23" i="10"/>
  <c r="H9" i="11"/>
  <c r="I9" i="11" s="1"/>
  <c r="E20" i="13"/>
  <c r="E25" i="10"/>
  <c r="E38" i="13"/>
  <c r="I8" i="11"/>
  <c r="I10" i="11"/>
  <c r="H8" i="12"/>
  <c r="I8" i="12" s="1"/>
  <c r="H8" i="13"/>
  <c r="I8" i="13" s="1"/>
  <c r="E35" i="11"/>
  <c r="A11" i="7" l="1"/>
  <c r="F39" i="2"/>
  <c r="F6" i="3" s="1"/>
  <c r="F31" i="3" s="1"/>
  <c r="F28" i="2"/>
  <c r="F25" i="2"/>
  <c r="F34" i="2"/>
  <c r="F23" i="2"/>
  <c r="F36" i="2"/>
  <c r="H12" i="11"/>
  <c r="I12" i="11" s="1"/>
  <c r="H13" i="5"/>
  <c r="I13" i="5" s="1"/>
  <c r="F38" i="2"/>
  <c r="F31" i="2"/>
  <c r="F24" i="2"/>
  <c r="F37" i="2"/>
  <c r="F27" i="2"/>
  <c r="A11" i="2"/>
  <c r="H10" i="2"/>
  <c r="I10" i="2" s="1"/>
  <c r="H9" i="10"/>
  <c r="I9" i="10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H9" i="4"/>
  <c r="I9" i="4" s="1"/>
  <c r="H9" i="12"/>
  <c r="I9" i="12" s="1"/>
  <c r="H10" i="6"/>
  <c r="I10" i="6" s="1"/>
  <c r="W56" i="1"/>
  <c r="W58" i="1" s="1"/>
  <c r="F29" i="2"/>
  <c r="F32" i="2"/>
  <c r="F30" i="2"/>
  <c r="H9" i="13"/>
  <c r="I9" i="13" s="1"/>
  <c r="H9" i="9"/>
  <c r="I9" i="9" s="1"/>
  <c r="H12" i="8"/>
  <c r="I12" i="8" s="1"/>
  <c r="H9" i="7"/>
  <c r="I9" i="7" s="1"/>
  <c r="H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F22" i="2"/>
  <c r="F35" i="2"/>
  <c r="F33" i="2"/>
  <c r="A12" i="7" l="1"/>
  <c r="F27" i="3"/>
  <c r="F24" i="3"/>
  <c r="F8" i="3"/>
  <c r="F17" i="3"/>
  <c r="F36" i="3"/>
  <c r="F6" i="4" s="1"/>
  <c r="F31" i="4" s="1"/>
  <c r="F30" i="3"/>
  <c r="F16" i="3"/>
  <c r="F25" i="3"/>
  <c r="F14" i="3"/>
  <c r="F32" i="3"/>
  <c r="F22" i="3"/>
  <c r="F13" i="3"/>
  <c r="F35" i="3"/>
  <c r="F29" i="3"/>
  <c r="F10" i="3"/>
  <c r="F18" i="3"/>
  <c r="F26" i="3"/>
  <c r="F9" i="3"/>
  <c r="F19" i="3"/>
  <c r="F12" i="3"/>
  <c r="F20" i="3"/>
  <c r="F28" i="3"/>
  <c r="F11" i="3"/>
  <c r="F21" i="3"/>
  <c r="F33" i="3"/>
  <c r="F34" i="3"/>
  <c r="F15" i="3"/>
  <c r="F23" i="3"/>
  <c r="H10" i="7"/>
  <c r="I10" i="7" s="1"/>
  <c r="H10" i="9"/>
  <c r="I10" i="9" s="1"/>
  <c r="W83" i="1"/>
  <c r="W81" i="1"/>
  <c r="W84" i="1"/>
  <c r="W80" i="1"/>
  <c r="H10" i="12"/>
  <c r="I10" i="12" s="1"/>
  <c r="H10" i="10"/>
  <c r="I10" i="10" s="1"/>
  <c r="H14" i="5"/>
  <c r="I14" i="5" s="1"/>
  <c r="H10" i="3"/>
  <c r="H11" i="6"/>
  <c r="I11" i="6" s="1"/>
  <c r="H10" i="4"/>
  <c r="I10" i="4" s="1"/>
  <c r="H11" i="2"/>
  <c r="I11" i="2" s="1"/>
  <c r="A12" i="2"/>
  <c r="H13" i="8"/>
  <c r="I13" i="8" s="1"/>
  <c r="H10" i="13"/>
  <c r="I10" i="13" s="1"/>
  <c r="H13" i="11"/>
  <c r="I13" i="11" s="1"/>
  <c r="A13" i="7" l="1"/>
  <c r="F10" i="4"/>
  <c r="F39" i="4"/>
  <c r="F6" i="5" s="1"/>
  <c r="F33" i="5" s="1"/>
  <c r="F34" i="4"/>
  <c r="F37" i="4"/>
  <c r="F23" i="4"/>
  <c r="F20" i="4"/>
  <c r="F13" i="4"/>
  <c r="F25" i="4"/>
  <c r="F24" i="4"/>
  <c r="F18" i="4"/>
  <c r="F38" i="4"/>
  <c r="F27" i="4"/>
  <c r="F29" i="4"/>
  <c r="F21" i="4"/>
  <c r="F32" i="4"/>
  <c r="F22" i="4"/>
  <c r="F11" i="4"/>
  <c r="F35" i="4"/>
  <c r="F8" i="4"/>
  <c r="F17" i="4"/>
  <c r="F16" i="4"/>
  <c r="F36" i="4"/>
  <c r="F26" i="4"/>
  <c r="F19" i="4"/>
  <c r="F9" i="4"/>
  <c r="F33" i="4"/>
  <c r="F12" i="4"/>
  <c r="F28" i="4"/>
  <c r="F14" i="4"/>
  <c r="F30" i="4"/>
  <c r="F15" i="4"/>
  <c r="H11" i="3"/>
  <c r="H11" i="13"/>
  <c r="I11" i="13" s="1"/>
  <c r="A13" i="2"/>
  <c r="H12" i="2"/>
  <c r="I12" i="2" s="1"/>
  <c r="H12" i="6"/>
  <c r="I12" i="6" s="1"/>
  <c r="H15" i="5"/>
  <c r="I15" i="5" s="1"/>
  <c r="H11" i="7"/>
  <c r="I11" i="7" s="1"/>
  <c r="H14" i="11"/>
  <c r="I14" i="11" s="1"/>
  <c r="H14" i="8"/>
  <c r="I14" i="8" s="1"/>
  <c r="H11" i="4"/>
  <c r="I11" i="4" s="1"/>
  <c r="H11" i="10"/>
  <c r="I11" i="10" s="1"/>
  <c r="H11" i="9"/>
  <c r="I11" i="9" s="1"/>
  <c r="H11" i="12"/>
  <c r="I11" i="12" s="1"/>
  <c r="F35" i="5" l="1"/>
  <c r="F38" i="5"/>
  <c r="F6" i="6" s="1"/>
  <c r="F32" i="6" s="1"/>
  <c r="F8" i="5"/>
  <c r="F21" i="5"/>
  <c r="F18" i="5"/>
  <c r="F28" i="5"/>
  <c r="A14" i="7"/>
  <c r="F27" i="5"/>
  <c r="F22" i="5"/>
  <c r="F12" i="5"/>
  <c r="F36" i="5"/>
  <c r="F31" i="5"/>
  <c r="F11" i="5"/>
  <c r="F26" i="5"/>
  <c r="F20" i="5"/>
  <c r="F9" i="5"/>
  <c r="F37" i="5"/>
  <c r="F19" i="5"/>
  <c r="F10" i="5"/>
  <c r="F34" i="5"/>
  <c r="F24" i="5"/>
  <c r="F13" i="5"/>
  <c r="F25" i="5"/>
  <c r="F29" i="5"/>
  <c r="F15" i="5"/>
  <c r="F23" i="5"/>
  <c r="F14" i="5"/>
  <c r="F30" i="5"/>
  <c r="F16" i="5"/>
  <c r="F32" i="5"/>
  <c r="F17" i="5"/>
  <c r="H12" i="12"/>
  <c r="I12" i="12" s="1"/>
  <c r="H12" i="10"/>
  <c r="I12" i="10" s="1"/>
  <c r="H13" i="6"/>
  <c r="I13" i="6" s="1"/>
  <c r="H12" i="4"/>
  <c r="I12" i="4" s="1"/>
  <c r="H15" i="11"/>
  <c r="I15" i="11" s="1"/>
  <c r="H12" i="7"/>
  <c r="I12" i="7" s="1"/>
  <c r="H12" i="13"/>
  <c r="I12" i="13" s="1"/>
  <c r="H16" i="5"/>
  <c r="I16" i="5" s="1"/>
  <c r="H15" i="8"/>
  <c r="I15" i="8" s="1"/>
  <c r="H12" i="9"/>
  <c r="I12" i="9" s="1"/>
  <c r="H13" i="2"/>
  <c r="I13" i="2" s="1"/>
  <c r="A14" i="2"/>
  <c r="H12" i="3"/>
  <c r="F39" i="6" l="1"/>
  <c r="F6" i="7" s="1"/>
  <c r="F24" i="7" s="1"/>
  <c r="F17" i="6"/>
  <c r="F37" i="6"/>
  <c r="F31" i="6"/>
  <c r="F26" i="6"/>
  <c r="F24" i="6"/>
  <c r="F34" i="6"/>
  <c r="F30" i="6"/>
  <c r="F21" i="6"/>
  <c r="F15" i="6"/>
  <c r="F35" i="6"/>
  <c r="F28" i="6"/>
  <c r="F22" i="6"/>
  <c r="F14" i="6"/>
  <c r="F29" i="6"/>
  <c r="F19" i="6"/>
  <c r="F12" i="6"/>
  <c r="F36" i="6"/>
  <c r="F8" i="6"/>
  <c r="F38" i="6"/>
  <c r="F13" i="6"/>
  <c r="F33" i="6"/>
  <c r="F23" i="6"/>
  <c r="F20" i="6"/>
  <c r="F18" i="6"/>
  <c r="F10" i="6"/>
  <c r="F9" i="6"/>
  <c r="F25" i="6"/>
  <c r="F11" i="6"/>
  <c r="F27" i="6"/>
  <c r="F16" i="6"/>
  <c r="A15" i="7"/>
  <c r="F36" i="7"/>
  <c r="H13" i="3"/>
  <c r="H13" i="9"/>
  <c r="I13" i="9" s="1"/>
  <c r="H13" i="4"/>
  <c r="I13" i="4" s="1"/>
  <c r="H13" i="10"/>
  <c r="I13" i="10" s="1"/>
  <c r="A15" i="2"/>
  <c r="H14" i="2"/>
  <c r="I14" i="2" s="1"/>
  <c r="H16" i="8"/>
  <c r="I16" i="8" s="1"/>
  <c r="H13" i="13"/>
  <c r="I13" i="13" s="1"/>
  <c r="H16" i="11"/>
  <c r="I16" i="11" s="1"/>
  <c r="H14" i="6"/>
  <c r="I14" i="6" s="1"/>
  <c r="H13" i="12"/>
  <c r="I13" i="12" s="1"/>
  <c r="H17" i="5"/>
  <c r="I17" i="5" s="1"/>
  <c r="H13" i="7"/>
  <c r="I13" i="7" s="1"/>
  <c r="F32" i="7" l="1"/>
  <c r="F25" i="7"/>
  <c r="F9" i="7"/>
  <c r="F8" i="7"/>
  <c r="F23" i="7"/>
  <c r="F22" i="7"/>
  <c r="F31" i="7"/>
  <c r="F30" i="7"/>
  <c r="F29" i="7"/>
  <c r="F12" i="7"/>
  <c r="F18" i="7"/>
  <c r="F11" i="7"/>
  <c r="F28" i="7"/>
  <c r="F26" i="7"/>
  <c r="F21" i="7"/>
  <c r="F15" i="7"/>
  <c r="F16" i="7"/>
  <c r="F38" i="7"/>
  <c r="F6" i="8" s="1"/>
  <c r="F30" i="8" s="1"/>
  <c r="F14" i="7"/>
  <c r="F13" i="7"/>
  <c r="F37" i="7"/>
  <c r="F27" i="7"/>
  <c r="F20" i="7"/>
  <c r="F10" i="7"/>
  <c r="F34" i="7"/>
  <c r="F17" i="7"/>
  <c r="F33" i="7"/>
  <c r="F19" i="7"/>
  <c r="F35" i="7"/>
  <c r="A16" i="7"/>
  <c r="H15" i="6"/>
  <c r="I15" i="6" s="1"/>
  <c r="H14" i="13"/>
  <c r="I14" i="13" s="1"/>
  <c r="H15" i="2"/>
  <c r="I15" i="2" s="1"/>
  <c r="A16" i="2"/>
  <c r="H14" i="4"/>
  <c r="I14" i="4" s="1"/>
  <c r="H14" i="3"/>
  <c r="H14" i="7"/>
  <c r="I14" i="7" s="1"/>
  <c r="H18" i="5"/>
  <c r="I18" i="5" s="1"/>
  <c r="H14" i="12"/>
  <c r="I14" i="12" s="1"/>
  <c r="H17" i="11"/>
  <c r="I17" i="11" s="1"/>
  <c r="H17" i="8"/>
  <c r="I17" i="8" s="1"/>
  <c r="H14" i="10"/>
  <c r="I14" i="10" s="1"/>
  <c r="H14" i="9"/>
  <c r="I14" i="9" s="1"/>
  <c r="F17" i="8" l="1"/>
  <c r="F24" i="8"/>
  <c r="F18" i="8"/>
  <c r="F19" i="8"/>
  <c r="F28" i="8"/>
  <c r="F23" i="8"/>
  <c r="F25" i="8"/>
  <c r="F22" i="8"/>
  <c r="F32" i="8"/>
  <c r="F35" i="8"/>
  <c r="F33" i="8"/>
  <c r="F26" i="8"/>
  <c r="F39" i="8"/>
  <c r="F6" i="9" s="1"/>
  <c r="F27" i="9" s="1"/>
  <c r="F20" i="8"/>
  <c r="F15" i="8"/>
  <c r="F9" i="8"/>
  <c r="F37" i="8"/>
  <c r="F38" i="8"/>
  <c r="F36" i="8"/>
  <c r="F16" i="8"/>
  <c r="F31" i="8"/>
  <c r="F21" i="8"/>
  <c r="F10" i="8"/>
  <c r="F34" i="8"/>
  <c r="F8" i="8"/>
  <c r="F12" i="8"/>
  <c r="F11" i="8"/>
  <c r="F27" i="8"/>
  <c r="F13" i="8"/>
  <c r="F29" i="8"/>
  <c r="F14" i="8"/>
  <c r="A17" i="7"/>
  <c r="F35" i="9"/>
  <c r="H15" i="7"/>
  <c r="I15" i="7" s="1"/>
  <c r="H15" i="9"/>
  <c r="I15" i="9" s="1"/>
  <c r="H18" i="8"/>
  <c r="I18" i="8" s="1"/>
  <c r="H15" i="12"/>
  <c r="I15" i="12" s="1"/>
  <c r="H15" i="4"/>
  <c r="I15" i="4" s="1"/>
  <c r="H15" i="13"/>
  <c r="I15" i="13" s="1"/>
  <c r="H18" i="11"/>
  <c r="I18" i="11" s="1"/>
  <c r="A17" i="2"/>
  <c r="H16" i="2"/>
  <c r="I16" i="2" s="1"/>
  <c r="H16" i="6"/>
  <c r="I16" i="6" s="1"/>
  <c r="H15" i="10"/>
  <c r="I15" i="10" s="1"/>
  <c r="H19" i="5"/>
  <c r="I19" i="5" s="1"/>
  <c r="H15" i="3"/>
  <c r="F28" i="9" l="1"/>
  <c r="F9" i="9"/>
  <c r="F22" i="9"/>
  <c r="F13" i="9"/>
  <c r="F34" i="9"/>
  <c r="F12" i="9"/>
  <c r="F31" i="9"/>
  <c r="F39" i="9"/>
  <c r="F6" i="10" s="1"/>
  <c r="F29" i="10" s="1"/>
  <c r="F21" i="9"/>
  <c r="F32" i="9"/>
  <c r="F38" i="9"/>
  <c r="F37" i="9"/>
  <c r="F14" i="9"/>
  <c r="F23" i="9"/>
  <c r="F8" i="9"/>
  <c r="F29" i="9"/>
  <c r="F20" i="9"/>
  <c r="F18" i="9"/>
  <c r="F15" i="9"/>
  <c r="F33" i="9"/>
  <c r="F16" i="9"/>
  <c r="F36" i="9"/>
  <c r="F30" i="9"/>
  <c r="F19" i="9"/>
  <c r="F17" i="9"/>
  <c r="F25" i="9"/>
  <c r="F24" i="9"/>
  <c r="F10" i="9"/>
  <c r="F26" i="9"/>
  <c r="F11" i="9"/>
  <c r="A18" i="7"/>
  <c r="F37" i="10"/>
  <c r="H17" i="6"/>
  <c r="I17" i="6" s="1"/>
  <c r="H16" i="4"/>
  <c r="I16" i="4" s="1"/>
  <c r="H16" i="3"/>
  <c r="H16" i="10"/>
  <c r="I16" i="10" s="1"/>
  <c r="H17" i="2"/>
  <c r="I17" i="2" s="1"/>
  <c r="A18" i="2"/>
  <c r="H16" i="13"/>
  <c r="I16" i="13" s="1"/>
  <c r="H16" i="12"/>
  <c r="I16" i="12" s="1"/>
  <c r="H16" i="9"/>
  <c r="I16" i="9" s="1"/>
  <c r="H20" i="5"/>
  <c r="I20" i="5" s="1"/>
  <c r="H16" i="7"/>
  <c r="I16" i="7" s="1"/>
  <c r="H19" i="11"/>
  <c r="I19" i="11" s="1"/>
  <c r="H19" i="8"/>
  <c r="I19" i="8" s="1"/>
  <c r="F36" i="10" l="1"/>
  <c r="F19" i="10"/>
  <c r="F30" i="10"/>
  <c r="F31" i="10"/>
  <c r="F26" i="10"/>
  <c r="F32" i="10"/>
  <c r="F33" i="10"/>
  <c r="F8" i="10"/>
  <c r="F10" i="10"/>
  <c r="F16" i="10"/>
  <c r="F17" i="10"/>
  <c r="F38" i="10"/>
  <c r="F6" i="11" s="1"/>
  <c r="F28" i="11" s="1"/>
  <c r="F11" i="10"/>
  <c r="F14" i="10"/>
  <c r="F20" i="10"/>
  <c r="F21" i="10"/>
  <c r="F27" i="10"/>
  <c r="F35" i="10"/>
  <c r="F18" i="10"/>
  <c r="F34" i="10"/>
  <c r="F24" i="10"/>
  <c r="F9" i="10"/>
  <c r="F25" i="10"/>
  <c r="F15" i="10"/>
  <c r="F23" i="10"/>
  <c r="F22" i="10"/>
  <c r="F12" i="10"/>
  <c r="F28" i="10"/>
  <c r="F13" i="10"/>
  <c r="A19" i="7"/>
  <c r="H17" i="9"/>
  <c r="I17" i="9" s="1"/>
  <c r="H17" i="13"/>
  <c r="I17" i="13" s="1"/>
  <c r="H17" i="10"/>
  <c r="I17" i="10" s="1"/>
  <c r="H17" i="4"/>
  <c r="I17" i="4" s="1"/>
  <c r="H20" i="8"/>
  <c r="I20" i="8" s="1"/>
  <c r="H17" i="7"/>
  <c r="I17" i="7" s="1"/>
  <c r="H17" i="12"/>
  <c r="I17" i="12" s="1"/>
  <c r="A19" i="2"/>
  <c r="H18" i="2"/>
  <c r="I18" i="2" s="1"/>
  <c r="H18" i="6"/>
  <c r="I18" i="6" s="1"/>
  <c r="H20" i="11"/>
  <c r="I20" i="11" s="1"/>
  <c r="H21" i="5"/>
  <c r="I21" i="5" s="1"/>
  <c r="H17" i="3"/>
  <c r="F9" i="11" l="1"/>
  <c r="F16" i="11"/>
  <c r="F25" i="11"/>
  <c r="F32" i="11"/>
  <c r="F11" i="11"/>
  <c r="F14" i="11"/>
  <c r="F8" i="11"/>
  <c r="F22" i="11"/>
  <c r="F27" i="11"/>
  <c r="F39" i="11"/>
  <c r="F6" i="12" s="1"/>
  <c r="F26" i="12" s="1"/>
  <c r="F30" i="11"/>
  <c r="F38" i="11"/>
  <c r="F13" i="11"/>
  <c r="F29" i="11"/>
  <c r="F15" i="11"/>
  <c r="F31" i="11"/>
  <c r="F20" i="11"/>
  <c r="F36" i="11"/>
  <c r="F18" i="11"/>
  <c r="F24" i="11"/>
  <c r="F26" i="11"/>
  <c r="F17" i="11"/>
  <c r="F33" i="11"/>
  <c r="F19" i="11"/>
  <c r="F35" i="11"/>
  <c r="F34" i="11"/>
  <c r="F10" i="11"/>
  <c r="F21" i="11"/>
  <c r="F37" i="11"/>
  <c r="F23" i="11"/>
  <c r="F12" i="11"/>
  <c r="A20" i="7"/>
  <c r="H21" i="11"/>
  <c r="I21" i="11" s="1"/>
  <c r="H18" i="4"/>
  <c r="I18" i="4" s="1"/>
  <c r="H18" i="13"/>
  <c r="I18" i="13" s="1"/>
  <c r="H22" i="5"/>
  <c r="I22" i="5" s="1"/>
  <c r="H18" i="12"/>
  <c r="I18" i="12" s="1"/>
  <c r="H18" i="7"/>
  <c r="I18" i="7" s="1"/>
  <c r="H18" i="3"/>
  <c r="H19" i="2"/>
  <c r="I19" i="2" s="1"/>
  <c r="A20" i="2"/>
  <c r="H19" i="6"/>
  <c r="I19" i="6" s="1"/>
  <c r="H21" i="8"/>
  <c r="I21" i="8" s="1"/>
  <c r="H18" i="10"/>
  <c r="I18" i="10" s="1"/>
  <c r="H18" i="9"/>
  <c r="I18" i="9" s="1"/>
  <c r="F38" i="12" l="1"/>
  <c r="F6" i="13" s="1"/>
  <c r="F26" i="13" s="1"/>
  <c r="F13" i="12"/>
  <c r="F11" i="12"/>
  <c r="F14" i="12"/>
  <c r="F24" i="12"/>
  <c r="F29" i="12"/>
  <c r="F27" i="12"/>
  <c r="F30" i="12"/>
  <c r="F8" i="12"/>
  <c r="F12" i="12"/>
  <c r="F28" i="12"/>
  <c r="F15" i="12"/>
  <c r="F31" i="12"/>
  <c r="F17" i="12"/>
  <c r="F33" i="12"/>
  <c r="F18" i="12"/>
  <c r="F34" i="12"/>
  <c r="F35" i="12"/>
  <c r="F16" i="12"/>
  <c r="F32" i="12"/>
  <c r="F19" i="12"/>
  <c r="F21" i="12"/>
  <c r="F37" i="12"/>
  <c r="F22" i="12"/>
  <c r="F20" i="12"/>
  <c r="F36" i="12"/>
  <c r="F23" i="12"/>
  <c r="F9" i="12"/>
  <c r="F25" i="12"/>
  <c r="F10" i="12"/>
  <c r="A21" i="7"/>
  <c r="F30" i="13"/>
  <c r="F33" i="13"/>
  <c r="F35" i="13"/>
  <c r="F24" i="13"/>
  <c r="H19" i="10"/>
  <c r="I19" i="10" s="1"/>
  <c r="H19" i="3"/>
  <c r="H19" i="4"/>
  <c r="I19" i="4" s="1"/>
  <c r="H19" i="9"/>
  <c r="I19" i="9" s="1"/>
  <c r="H22" i="8"/>
  <c r="I22" i="8" s="1"/>
  <c r="H20" i="2"/>
  <c r="I20" i="2" s="1"/>
  <c r="A21" i="2"/>
  <c r="H19" i="7"/>
  <c r="I19" i="7" s="1"/>
  <c r="H23" i="5"/>
  <c r="I23" i="5" s="1"/>
  <c r="H19" i="12"/>
  <c r="I19" i="12" s="1"/>
  <c r="H19" i="13"/>
  <c r="I19" i="13" s="1"/>
  <c r="H22" i="11"/>
  <c r="I22" i="11" s="1"/>
  <c r="H20" i="6"/>
  <c r="I20" i="6" s="1"/>
  <c r="F39" i="13"/>
  <c r="F32" i="13" l="1"/>
  <c r="F19" i="13"/>
  <c r="F17" i="13"/>
  <c r="F14" i="13"/>
  <c r="F36" i="13"/>
  <c r="F37" i="13"/>
  <c r="F34" i="13"/>
  <c r="F12" i="13"/>
  <c r="F23" i="13"/>
  <c r="F21" i="13"/>
  <c r="F18" i="13"/>
  <c r="F8" i="13"/>
  <c r="F16" i="13"/>
  <c r="F11" i="13"/>
  <c r="F27" i="13"/>
  <c r="F9" i="13"/>
  <c r="F25" i="13"/>
  <c r="F28" i="13"/>
  <c r="F22" i="13"/>
  <c r="F38" i="13"/>
  <c r="F20" i="13"/>
  <c r="F15" i="13"/>
  <c r="F31" i="13"/>
  <c r="F13" i="13"/>
  <c r="F29" i="13"/>
  <c r="F10" i="13"/>
  <c r="A22" i="7"/>
  <c r="H21" i="6"/>
  <c r="I21" i="6" s="1"/>
  <c r="H20" i="13"/>
  <c r="I20" i="13" s="1"/>
  <c r="H23" i="11"/>
  <c r="I23" i="11" s="1"/>
  <c r="H20" i="12"/>
  <c r="I20" i="12" s="1"/>
  <c r="H24" i="5"/>
  <c r="I24" i="5" s="1"/>
  <c r="A22" i="2"/>
  <c r="H21" i="2"/>
  <c r="I21" i="2" s="1"/>
  <c r="H20" i="9"/>
  <c r="I20" i="9" s="1"/>
  <c r="H20" i="7"/>
  <c r="I20" i="7" s="1"/>
  <c r="H20" i="3"/>
  <c r="H23" i="8"/>
  <c r="I23" i="8" s="1"/>
  <c r="H20" i="4"/>
  <c r="I20" i="4" s="1"/>
  <c r="H20" i="10"/>
  <c r="I20" i="10" s="1"/>
  <c r="A23" i="7" l="1"/>
  <c r="H21" i="7"/>
  <c r="I21" i="7" s="1"/>
  <c r="H22" i="2"/>
  <c r="I22" i="2" s="1"/>
  <c r="A23" i="2"/>
  <c r="H21" i="3"/>
  <c r="H21" i="10"/>
  <c r="I21" i="10" s="1"/>
  <c r="H24" i="8"/>
  <c r="I24" i="8" s="1"/>
  <c r="H21" i="12"/>
  <c r="I21" i="12" s="1"/>
  <c r="H21" i="13"/>
  <c r="I21" i="13" s="1"/>
  <c r="H21" i="4"/>
  <c r="I21" i="4" s="1"/>
  <c r="H21" i="9"/>
  <c r="I21" i="9" s="1"/>
  <c r="H24" i="11"/>
  <c r="I24" i="11" s="1"/>
  <c r="H22" i="6"/>
  <c r="I22" i="6" s="1"/>
  <c r="H25" i="5"/>
  <c r="I25" i="5" s="1"/>
  <c r="A24" i="7" l="1"/>
  <c r="H26" i="5"/>
  <c r="I26" i="5" s="1"/>
  <c r="A24" i="2"/>
  <c r="H23" i="2"/>
  <c r="I23" i="2" s="1"/>
  <c r="H25" i="11"/>
  <c r="I25" i="11" s="1"/>
  <c r="H22" i="4"/>
  <c r="I22" i="4" s="1"/>
  <c r="H22" i="12"/>
  <c r="I22" i="12" s="1"/>
  <c r="H22" i="10"/>
  <c r="I22" i="10" s="1"/>
  <c r="H22" i="3"/>
  <c r="H22" i="7"/>
  <c r="I22" i="7" s="1"/>
  <c r="H23" i="6"/>
  <c r="I23" i="6" s="1"/>
  <c r="H22" i="9"/>
  <c r="I22" i="9" s="1"/>
  <c r="H22" i="13"/>
  <c r="I22" i="13" s="1"/>
  <c r="H25" i="8"/>
  <c r="I25" i="8" s="1"/>
  <c r="A25" i="7" l="1"/>
  <c r="H23" i="3"/>
  <c r="H27" i="5"/>
  <c r="I27" i="5" s="1"/>
  <c r="H26" i="8"/>
  <c r="I26" i="8" s="1"/>
  <c r="H23" i="9"/>
  <c r="I23" i="9" s="1"/>
  <c r="H23" i="10"/>
  <c r="I23" i="10" s="1"/>
  <c r="H23" i="4"/>
  <c r="I23" i="4" s="1"/>
  <c r="H23" i="7"/>
  <c r="I23" i="7" s="1"/>
  <c r="H24" i="2"/>
  <c r="I24" i="2" s="1"/>
  <c r="A25" i="2"/>
  <c r="H23" i="13"/>
  <c r="I23" i="13" s="1"/>
  <c r="H24" i="6"/>
  <c r="I24" i="6" s="1"/>
  <c r="H23" i="12"/>
  <c r="I23" i="12" s="1"/>
  <c r="H26" i="11"/>
  <c r="I26" i="11" s="1"/>
  <c r="A26" i="7" l="1"/>
  <c r="A26" i="2"/>
  <c r="H25" i="2"/>
  <c r="I25" i="2" s="1"/>
  <c r="H28" i="5"/>
  <c r="I28" i="5" s="1"/>
  <c r="H27" i="11"/>
  <c r="I27" i="11" s="1"/>
  <c r="H25" i="6"/>
  <c r="I25" i="6" s="1"/>
  <c r="H24" i="4"/>
  <c r="I24" i="4" s="1"/>
  <c r="H24" i="9"/>
  <c r="I24" i="9" s="1"/>
  <c r="H24" i="7"/>
  <c r="I24" i="7" s="1"/>
  <c r="H24" i="12"/>
  <c r="I24" i="12" s="1"/>
  <c r="H24" i="13"/>
  <c r="I24" i="13" s="1"/>
  <c r="H24" i="10"/>
  <c r="I24" i="10" s="1"/>
  <c r="H27" i="8"/>
  <c r="I27" i="8" s="1"/>
  <c r="H24" i="3"/>
  <c r="A27" i="7" l="1"/>
  <c r="H25" i="3"/>
  <c r="H25" i="10"/>
  <c r="I25" i="10" s="1"/>
  <c r="H25" i="12"/>
  <c r="I25" i="12" s="1"/>
  <c r="H25" i="9"/>
  <c r="I25" i="9" s="1"/>
  <c r="H26" i="6"/>
  <c r="I26" i="6" s="1"/>
  <c r="H29" i="5"/>
  <c r="I29" i="5" s="1"/>
  <c r="H28" i="8"/>
  <c r="I28" i="8" s="1"/>
  <c r="H25" i="13"/>
  <c r="I25" i="13" s="1"/>
  <c r="H25" i="4"/>
  <c r="I25" i="4" s="1"/>
  <c r="H28" i="11"/>
  <c r="I28" i="11" s="1"/>
  <c r="H25" i="7"/>
  <c r="I25" i="7" s="1"/>
  <c r="H26" i="2"/>
  <c r="I26" i="2" s="1"/>
  <c r="A27" i="2"/>
  <c r="A28" i="7" l="1"/>
  <c r="A28" i="2"/>
  <c r="H27" i="2"/>
  <c r="I27" i="2" s="1"/>
  <c r="H30" i="5"/>
  <c r="I30" i="5" s="1"/>
  <c r="H26" i="9"/>
  <c r="I26" i="9" s="1"/>
  <c r="H26" i="10"/>
  <c r="I26" i="10" s="1"/>
  <c r="H26" i="7"/>
  <c r="I26" i="7" s="1"/>
  <c r="H29" i="11"/>
  <c r="I29" i="11" s="1"/>
  <c r="H26" i="13"/>
  <c r="I26" i="13" s="1"/>
  <c r="H26" i="4"/>
  <c r="I26" i="4" s="1"/>
  <c r="H29" i="8"/>
  <c r="I29" i="8" s="1"/>
  <c r="H27" i="6"/>
  <c r="I27" i="6" s="1"/>
  <c r="H26" i="12"/>
  <c r="I26" i="12" s="1"/>
  <c r="H26" i="3"/>
  <c r="A29" i="7" l="1"/>
  <c r="H27" i="3"/>
  <c r="H28" i="6"/>
  <c r="I28" i="6" s="1"/>
  <c r="H27" i="4"/>
  <c r="I27" i="4" s="1"/>
  <c r="H30" i="11"/>
  <c r="I30" i="11" s="1"/>
  <c r="H27" i="10"/>
  <c r="I27" i="10" s="1"/>
  <c r="H31" i="5"/>
  <c r="I31" i="5" s="1"/>
  <c r="H27" i="12"/>
  <c r="I27" i="12" s="1"/>
  <c r="H30" i="8"/>
  <c r="I30" i="8" s="1"/>
  <c r="H27" i="13"/>
  <c r="I27" i="13" s="1"/>
  <c r="H27" i="9"/>
  <c r="I27" i="9" s="1"/>
  <c r="H27" i="7"/>
  <c r="I27" i="7" s="1"/>
  <c r="H28" i="2"/>
  <c r="I28" i="2" s="1"/>
  <c r="A29" i="2"/>
  <c r="A30" i="7" l="1"/>
  <c r="H32" i="5"/>
  <c r="I32" i="5" s="1"/>
  <c r="A30" i="2"/>
  <c r="H29" i="2"/>
  <c r="I29" i="2" s="1"/>
  <c r="H31" i="11"/>
  <c r="I31" i="11" s="1"/>
  <c r="H29" i="6"/>
  <c r="I29" i="6" s="1"/>
  <c r="H28" i="7"/>
  <c r="I28" i="7" s="1"/>
  <c r="H28" i="9"/>
  <c r="I28" i="9" s="1"/>
  <c r="H31" i="8"/>
  <c r="I31" i="8" s="1"/>
  <c r="H28" i="13"/>
  <c r="I28" i="13" s="1"/>
  <c r="H28" i="12"/>
  <c r="I28" i="12" s="1"/>
  <c r="H28" i="10"/>
  <c r="I28" i="10" s="1"/>
  <c r="H28" i="4"/>
  <c r="I28" i="4" s="1"/>
  <c r="H28" i="3"/>
  <c r="A31" i="7" l="1"/>
  <c r="H29" i="3"/>
  <c r="H29" i="10"/>
  <c r="I29" i="10" s="1"/>
  <c r="H29" i="13"/>
  <c r="I29" i="13" s="1"/>
  <c r="H29" i="9"/>
  <c r="I29" i="9" s="1"/>
  <c r="H30" i="6"/>
  <c r="I30" i="6" s="1"/>
  <c r="H30" i="2"/>
  <c r="I30" i="2" s="1"/>
  <c r="A31" i="2"/>
  <c r="H29" i="4"/>
  <c r="I29" i="4" s="1"/>
  <c r="H29" i="12"/>
  <c r="I29" i="12" s="1"/>
  <c r="H32" i="8"/>
  <c r="I32" i="8" s="1"/>
  <c r="H32" i="11"/>
  <c r="I32" i="11" s="1"/>
  <c r="H29" i="7"/>
  <c r="I29" i="7" s="1"/>
  <c r="H33" i="5"/>
  <c r="I33" i="5" s="1"/>
  <c r="A32" i="7" l="1"/>
  <c r="A32" i="2"/>
  <c r="H31" i="2"/>
  <c r="I31" i="2" s="1"/>
  <c r="H30" i="10"/>
  <c r="I30" i="10" s="1"/>
  <c r="H30" i="7"/>
  <c r="I30" i="7" s="1"/>
  <c r="H34" i="5"/>
  <c r="I34" i="5" s="1"/>
  <c r="H33" i="11"/>
  <c r="I33" i="11" s="1"/>
  <c r="H30" i="12"/>
  <c r="I30" i="12" s="1"/>
  <c r="H30" i="9"/>
  <c r="I30" i="9" s="1"/>
  <c r="H30" i="3"/>
  <c r="H33" i="8"/>
  <c r="I33" i="8" s="1"/>
  <c r="H30" i="4"/>
  <c r="I30" i="4" s="1"/>
  <c r="H31" i="6"/>
  <c r="I31" i="6" s="1"/>
  <c r="H30" i="13"/>
  <c r="I30" i="13" s="1"/>
  <c r="A33" i="7" l="1"/>
  <c r="H31" i="13"/>
  <c r="I31" i="13" s="1"/>
  <c r="H31" i="4"/>
  <c r="I31" i="4" s="1"/>
  <c r="H31" i="12"/>
  <c r="I31" i="12" s="1"/>
  <c r="H32" i="6"/>
  <c r="I32" i="6" s="1"/>
  <c r="H34" i="8"/>
  <c r="I34" i="8" s="1"/>
  <c r="H31" i="9"/>
  <c r="I31" i="9" s="1"/>
  <c r="H34" i="11"/>
  <c r="I34" i="11" s="1"/>
  <c r="H31" i="3"/>
  <c r="H35" i="5"/>
  <c r="I35" i="5" s="1"/>
  <c r="H31" i="10"/>
  <c r="I31" i="10" s="1"/>
  <c r="H31" i="7"/>
  <c r="I31" i="7" s="1"/>
  <c r="H32" i="2"/>
  <c r="I32" i="2" s="1"/>
  <c r="A33" i="2"/>
  <c r="A34" i="7" l="1"/>
  <c r="H37" i="5"/>
  <c r="I37" i="5" s="1"/>
  <c r="H36" i="5"/>
  <c r="I36" i="5" s="1"/>
  <c r="A34" i="2"/>
  <c r="H33" i="2"/>
  <c r="I33" i="2" s="1"/>
  <c r="H32" i="10"/>
  <c r="I32" i="10" s="1"/>
  <c r="H32" i="3"/>
  <c r="H32" i="9"/>
  <c r="I32" i="9" s="1"/>
  <c r="H33" i="6"/>
  <c r="I33" i="6" s="1"/>
  <c r="H32" i="4"/>
  <c r="I32" i="4" s="1"/>
  <c r="H32" i="7"/>
  <c r="I32" i="7" s="1"/>
  <c r="H35" i="11"/>
  <c r="I35" i="11" s="1"/>
  <c r="H35" i="8"/>
  <c r="I35" i="8" s="1"/>
  <c r="H32" i="12"/>
  <c r="I32" i="12" s="1"/>
  <c r="H34" i="13"/>
  <c r="I34" i="13" s="1"/>
  <c r="A35" i="7" l="1"/>
  <c r="H35" i="13"/>
  <c r="I35" i="13" s="1"/>
  <c r="H36" i="8"/>
  <c r="I36" i="8" s="1"/>
  <c r="H34" i="6"/>
  <c r="I34" i="6" s="1"/>
  <c r="H33" i="7"/>
  <c r="I33" i="7" s="1"/>
  <c r="H33" i="3"/>
  <c r="H34" i="2"/>
  <c r="I34" i="2" s="1"/>
  <c r="A35" i="2"/>
  <c r="H33" i="12"/>
  <c r="I33" i="12" s="1"/>
  <c r="H36" i="11"/>
  <c r="I36" i="11" s="1"/>
  <c r="H33" i="4"/>
  <c r="I33" i="4" s="1"/>
  <c r="H33" i="9"/>
  <c r="I33" i="9" s="1"/>
  <c r="H33" i="10"/>
  <c r="I33" i="10" s="1"/>
  <c r="A36" i="7" l="1"/>
  <c r="A36" i="2"/>
  <c r="H35" i="2"/>
  <c r="I35" i="2" s="1"/>
  <c r="H34" i="7"/>
  <c r="I34" i="7" s="1"/>
  <c r="H37" i="11"/>
  <c r="I37" i="11" s="1"/>
  <c r="H38" i="11"/>
  <c r="I38" i="11" s="1"/>
  <c r="H37" i="8"/>
  <c r="I37" i="8" s="1"/>
  <c r="H38" i="8"/>
  <c r="I38" i="8" s="1"/>
  <c r="H34" i="9"/>
  <c r="I34" i="9" s="1"/>
  <c r="H34" i="10"/>
  <c r="I34" i="10" s="1"/>
  <c r="H34" i="4"/>
  <c r="I34" i="4" s="1"/>
  <c r="H34" i="12"/>
  <c r="I34" i="12" s="1"/>
  <c r="H34" i="3"/>
  <c r="H35" i="6"/>
  <c r="I35" i="6" s="1"/>
  <c r="H36" i="13"/>
  <c r="I36" i="13" s="1"/>
  <c r="A37" i="7" l="1"/>
  <c r="H35" i="3"/>
  <c r="H36" i="6"/>
  <c r="I36" i="6" s="1"/>
  <c r="H35" i="12"/>
  <c r="I35" i="12" s="1"/>
  <c r="H38" i="13"/>
  <c r="I38" i="13" s="1"/>
  <c r="H37" i="13"/>
  <c r="I37" i="13" s="1"/>
  <c r="H35" i="10"/>
  <c r="I35" i="10" s="1"/>
  <c r="H35" i="7"/>
  <c r="I35" i="7" s="1"/>
  <c r="H35" i="4"/>
  <c r="I35" i="4" s="1"/>
  <c r="H35" i="9"/>
  <c r="I35" i="9" s="1"/>
  <c r="H36" i="2"/>
  <c r="I36" i="2" s="1"/>
  <c r="A37" i="2"/>
  <c r="H37" i="10" l="1"/>
  <c r="I37" i="10" s="1"/>
  <c r="H36" i="10"/>
  <c r="I36" i="10" s="1"/>
  <c r="H37" i="7"/>
  <c r="I37" i="7" s="1"/>
  <c r="H36" i="7"/>
  <c r="I36" i="7" s="1"/>
  <c r="A38" i="2"/>
  <c r="H38" i="2" s="1"/>
  <c r="I38" i="2" s="1"/>
  <c r="H37" i="2"/>
  <c r="I37" i="2" s="1"/>
  <c r="H36" i="4"/>
  <c r="I36" i="4" s="1"/>
  <c r="H36" i="12"/>
  <c r="I36" i="12" s="1"/>
  <c r="H37" i="12"/>
  <c r="I37" i="12" s="1"/>
  <c r="H36" i="9"/>
  <c r="I36" i="9" s="1"/>
  <c r="H37" i="6"/>
  <c r="I37" i="6" s="1"/>
  <c r="H38" i="6"/>
  <c r="I38" i="6" s="1"/>
  <c r="H38" i="9" l="1"/>
  <c r="I38" i="9" s="1"/>
  <c r="H37" i="9"/>
  <c r="I37" i="9" s="1"/>
  <c r="H38" i="4"/>
  <c r="I38" i="4" s="1"/>
  <c r="H37" i="4"/>
  <c r="I37" i="4" s="1"/>
</calcChain>
</file>

<file path=xl/sharedStrings.xml><?xml version="1.0" encoding="utf-8"?>
<sst xmlns="http://schemas.openxmlformats.org/spreadsheetml/2006/main" count="466" uniqueCount="91">
  <si>
    <t>Persönliche Angaben</t>
  </si>
  <si>
    <t>Diese Angaben werden in alle Monatsbögen übernommen.</t>
  </si>
  <si>
    <t>Pausenzeit 6-9 Stunden</t>
  </si>
  <si>
    <t>Pausenzeit 9-10 Stunden</t>
  </si>
  <si>
    <t>diesen Block nicht ändern!</t>
  </si>
  <si>
    <t>Globale Daten</t>
  </si>
  <si>
    <t xml:space="preserve">wöchentliche Arbeitszeit bei </t>
  </si>
  <si>
    <t>Prozent</t>
  </si>
  <si>
    <t>wöchentliche Arbeitszeit</t>
  </si>
  <si>
    <t>Datum</t>
  </si>
  <si>
    <t>Beschreibung</t>
  </si>
  <si>
    <t>soll</t>
  </si>
  <si>
    <t>zwsumme+vortagessoll</t>
  </si>
  <si>
    <t>Zeitausgleich</t>
  </si>
  <si>
    <t>-tageszeit</t>
  </si>
  <si>
    <t>Krankheit</t>
  </si>
  <si>
    <t>Befreiung</t>
  </si>
  <si>
    <t>Urlaub</t>
  </si>
  <si>
    <t>Dienstreise</t>
  </si>
  <si>
    <t>Mehrarbeit</t>
  </si>
  <si>
    <t>kein Arbeitstag</t>
  </si>
  <si>
    <t>Neujahr</t>
  </si>
  <si>
    <t>Karfreitag</t>
  </si>
  <si>
    <t>Ostermontag</t>
  </si>
  <si>
    <t>Tag der Arbeit</t>
  </si>
  <si>
    <t>Christi Himmelfahrt</t>
  </si>
  <si>
    <t>Pfingstmontag</t>
  </si>
  <si>
    <t>Tag der Deutschen Einheit</t>
  </si>
  <si>
    <t>Weihnachtstag</t>
  </si>
  <si>
    <t>tagindex</t>
  </si>
  <si>
    <t>wochentag</t>
  </si>
  <si>
    <t>arbeitszeit</t>
  </si>
  <si>
    <t>Montag</t>
  </si>
  <si>
    <t>Dienstag</t>
  </si>
  <si>
    <t>Mittwoch</t>
  </si>
  <si>
    <t>Donnerstag</t>
  </si>
  <si>
    <t>Freitag</t>
  </si>
  <si>
    <t>Samstag</t>
  </si>
  <si>
    <t>Sonntag</t>
  </si>
  <si>
    <t>boolText</t>
  </si>
  <si>
    <t>boolean</t>
  </si>
  <si>
    <t>Ja</t>
  </si>
  <si>
    <t>Nein</t>
  </si>
  <si>
    <t>ZEITERFASSUNGSBOGEN FÜR DIE GLEITENDE ARBEITSZEIT</t>
  </si>
  <si>
    <t>Name:</t>
  </si>
  <si>
    <t>Vorname:</t>
  </si>
  <si>
    <t xml:space="preserve">Dienststelle: </t>
  </si>
  <si>
    <t xml:space="preserve">Monat: </t>
  </si>
  <si>
    <t>Tag</t>
  </si>
  <si>
    <t>Beginn des Dienstes (frühestens 6:00 Uhr)</t>
  </si>
  <si>
    <t>Ende des Dienstes (spätestens 19:30 Uhr)</t>
  </si>
  <si>
    <t>Pause (mind. 30 Min. ab 6 Std. AZ, mind. 45 Min. ab 9 Std. AZ)</t>
  </si>
  <si>
    <t>Arbeitszeit 
(hh:mm)</t>
  </si>
  <si>
    <t>Tägl. Fortschreibung d. zeitl. Über- u. Unterschreitung 
(+ / - hh:mm)</t>
  </si>
  <si>
    <t>Bemerkungen, z.B. 
U = Urlaub 
K = Krankheit 
B = Befreiung 
Zaus = Zeitausgleich 
D = Dienstreise 
kA = kein Arbeitstag</t>
  </si>
  <si>
    <t>Übertrag aus dem Vormonat:</t>
  </si>
  <si>
    <t>Beginn</t>
  </si>
  <si>
    <t>Ende</t>
  </si>
  <si>
    <t>Pause</t>
  </si>
  <si>
    <t>Arbeitszeit</t>
  </si>
  <si>
    <t>Zwischensumme</t>
  </si>
  <si>
    <t>Bemerkung</t>
  </si>
  <si>
    <t>Berechnungshilfe1</t>
  </si>
  <si>
    <t>Berechnungshilfe2</t>
  </si>
  <si>
    <t>Übertrag in den Folgemonat:</t>
  </si>
  <si>
    <t>Anmerkungen</t>
  </si>
  <si>
    <r>
      <rPr>
        <b/>
        <sz val="8"/>
        <rFont val="Arial"/>
        <family val="2"/>
        <charset val="1"/>
      </rPr>
      <t>Zeitgutschriften</t>
    </r>
    <r>
      <rPr>
        <sz val="8"/>
        <rFont val="Arial"/>
        <family val="2"/>
        <charset val="1"/>
      </rPr>
      <t xml:space="preserve"> – pro Monat max. 25 Stunden (1.500 Min.);</t>
    </r>
  </si>
  <si>
    <t>kumuliert max. 80 Stunden (4.800) Min.)</t>
  </si>
  <si>
    <r>
      <rPr>
        <b/>
        <sz val="8"/>
        <rFont val="Arial"/>
        <family val="2"/>
        <charset val="1"/>
      </rPr>
      <t>Zeitlastschriften</t>
    </r>
    <r>
      <rPr>
        <sz val="8"/>
        <rFont val="Arial"/>
        <family val="2"/>
        <charset val="1"/>
      </rPr>
      <t xml:space="preserve"> – pro Monat max. 15 Stunden (900 Min.);</t>
    </r>
  </si>
  <si>
    <t>Unterschrift/Datum Beschäftigte/r</t>
  </si>
  <si>
    <t>kumuliert max. 40 Stunden (2.400 Min.)</t>
  </si>
  <si>
    <t>Pausenzeit 6-9 Stunden:</t>
  </si>
  <si>
    <t>Kenntnisnahme Vorgesetzte/r</t>
  </si>
  <si>
    <t>monatliche Arbeitszeit</t>
  </si>
  <si>
    <t>Gegenüber Sollarb.zeit mehr/weniger 
(+/- hh:mm)</t>
  </si>
  <si>
    <t>Wirtschaftswissenschaftliche Fakultät</t>
  </si>
  <si>
    <t>Spandauer Str. 1</t>
  </si>
  <si>
    <t>10099 Berlin</t>
  </si>
  <si>
    <t>Dienststelle:</t>
  </si>
  <si>
    <t>Jahr:</t>
  </si>
  <si>
    <t>Monatsarbeitsstunden:</t>
  </si>
  <si>
    <t>Spalte1</t>
  </si>
  <si>
    <t>Spalte2</t>
  </si>
  <si>
    <t>Ostern</t>
  </si>
  <si>
    <t>Pfingsten</t>
  </si>
  <si>
    <t>Silvester</t>
  </si>
  <si>
    <t>Haushalt/Personal</t>
  </si>
  <si>
    <t>Int. Frauentag</t>
  </si>
  <si>
    <t>Weihnachten</t>
  </si>
  <si>
    <t>Heiligabend</t>
  </si>
  <si>
    <t>Stand: 03.01.2023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</si>
</sst>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"/>
    <numFmt numFmtId="165" formatCode="mm/dd/yyyy"/>
    <numFmt numFmtId="166" formatCode="[hh]:mm"/>
    <numFmt numFmtId="167" formatCode="mmmm\ yyyy"/>
    <numFmt numFmtId="168" formatCode="dd/\ mmmm"/>
  </numFmts>
  <fonts count="14" x14ac:knownFonts="1">
    <font>
      <sz val="10"/>
      <name val="Verdana"/>
      <family val="2"/>
      <charset val="1"/>
    </font>
    <font>
      <b/>
      <sz val="14"/>
      <name val="Verdana"/>
      <family val="2"/>
      <charset val="1"/>
    </font>
    <font>
      <i/>
      <sz val="9"/>
      <color rgb="FF333333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rgb="FFC0C0C0"/>
      </top>
      <bottom style="double">
        <color rgb="FFC0C0C0"/>
      </bottom>
      <diagonal/>
    </border>
    <border>
      <left/>
      <right/>
      <top style="double">
        <color rgb="FFA5A5A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1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5" fontId="2" fillId="0" borderId="0" xfId="0" applyNumberFormat="1" applyFont="1"/>
    <xf numFmtId="166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9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Font="1"/>
    <xf numFmtId="166" fontId="0" fillId="0" borderId="0" xfId="0" applyNumberForma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0" xfId="0" applyFont="1"/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 applyProtection="1">
      <alignment vertical="top" wrapText="1"/>
      <protection locked="0"/>
    </xf>
    <xf numFmtId="168" fontId="3" fillId="0" borderId="0" xfId="0" applyNumberFormat="1" applyFont="1" applyBorder="1" applyAlignment="1">
      <alignment vertical="top" wrapText="1"/>
    </xf>
    <xf numFmtId="20" fontId="3" fillId="0" borderId="0" xfId="0" applyNumberFormat="1" applyFont="1" applyBorder="1" applyAlignment="1" applyProtection="1">
      <alignment vertical="top" wrapText="1"/>
      <protection locked="0"/>
    </xf>
    <xf numFmtId="166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 applyProtection="1">
      <alignment vertical="top" shrinkToFit="1"/>
      <protection locked="0"/>
    </xf>
    <xf numFmtId="166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shrinkToFit="1"/>
    </xf>
    <xf numFmtId="166" fontId="3" fillId="0" borderId="0" xfId="0" applyNumberFormat="1" applyFont="1" applyProtection="1">
      <protection hidden="1"/>
    </xf>
    <xf numFmtId="0" fontId="3" fillId="0" borderId="5" xfId="0" applyFont="1" applyBorder="1"/>
    <xf numFmtId="164" fontId="9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20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top" wrapText="1"/>
    </xf>
    <xf numFmtId="20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/>
    <xf numFmtId="164" fontId="9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166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top" wrapText="1"/>
      <protection locked="0"/>
    </xf>
    <xf numFmtId="168" fontId="3" fillId="0" borderId="0" xfId="0" applyNumberFormat="1" applyFont="1" applyBorder="1" applyAlignment="1" applyProtection="1">
      <alignment vertical="top" wrapText="1"/>
    </xf>
    <xf numFmtId="0" fontId="12" fillId="0" borderId="0" xfId="0" applyFont="1"/>
    <xf numFmtId="0" fontId="0" fillId="2" borderId="0" xfId="0" applyFill="1"/>
    <xf numFmtId="0" fontId="0" fillId="2" borderId="0" xfId="0" applyFont="1" applyFill="1"/>
    <xf numFmtId="20" fontId="0" fillId="2" borderId="0" xfId="0" applyNumberFormat="1" applyFill="1" applyBorder="1"/>
    <xf numFmtId="0" fontId="0" fillId="2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" fontId="0" fillId="0" borderId="7" xfId="0" applyNumberForma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4" fontId="0" fillId="0" borderId="8" xfId="0" applyNumberForma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167" fontId="5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>
      <alignment vertical="center" wrapText="1"/>
    </xf>
  </cellXfs>
  <cellStyles count="1">
    <cellStyle name="Standard" xfId="0" builtinId="0"/>
  </cellStyles>
  <dxfs count="36"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Feiertage" displayName="Feiertage" ref="W70:X87" totalsRowShown="0">
  <autoFilter ref="W70:X87"/>
  <tableColumns count="2">
    <tableColumn id="1" name="Datum"/>
    <tableColumn id="2" name="Beschreibung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8" name="Juni" displayName="Juni" ref="A7:K37" totalsRowShown="0">
  <autoFilter ref="A7:K37"/>
  <tableColumns count="11">
    <tableColumn id="1" name="Datum"/>
    <tableColumn id="2" name="Beginn"/>
    <tableColumn id="3" name="Ende"/>
    <tableColumn id="4" name="Pause"/>
    <tableColumn id="5" name="Arbeitszeit"/>
    <tableColumn id="6" name="Zwischensumme" dataDxfId="26"/>
    <tableColumn id="7" name="Bemerkung"/>
    <tableColumn id="8" name="Berechnungshilfe1"/>
    <tableColumn id="9" name="Berechnungshilfe2"/>
    <tableColumn id="10" name="Spalte1" dataDxfId="25"/>
    <tableColumn id="11" name="Spalte2" dataDxfId="2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" name="Juli" displayName="Juli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" name="August" displayName="August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September" displayName="September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2" name="Oktober" displayName="Oktober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1" name="November" displayName="November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3" name="Dezember" displayName="Dezember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Sollarbeitszeiten" displayName="Sollarbeitszeiten" ref="T70:U170" totalsRowShown="0">
  <autoFilter ref="T70:U170"/>
  <tableColumns count="2">
    <tableColumn id="1" name="Prozent"/>
    <tableColumn id="2" name="wöchentliche Arbeitszei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5" name="Wahrheitswerte" displayName="Wahrheitswerte" ref="W104:X106" totalsRowShown="0">
  <autoFilter ref="W104:X106"/>
  <tableColumns count="2">
    <tableColumn id="1" name="boolText"/>
    <tableColumn id="2" name="boolea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Wochenzeiten" displayName="Wochenzeiten" ref="W90:Y97" totalsRowShown="0">
  <autoFilter ref="W90:Y97"/>
  <tableColumns count="3">
    <tableColumn id="1" name="tagindex"/>
    <tableColumn id="2" name="wochentag"/>
    <tableColumn id="3" name="arbeitszei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Januar" displayName="Januar" ref="A7:I38" totalsRowShown="0">
  <autoFilter ref="A7:I38"/>
  <tableColumns count="9">
    <tableColumn id="1" name="Datum"/>
    <tableColumn id="2" name="Beginn" dataDxfId="35"/>
    <tableColumn id="3" name="Ende" dataDxfId="34"/>
    <tableColumn id="4" name="Pause" dataDxfId="33"/>
    <tableColumn id="5" name="Arbeitszeit" dataDxfId="32"/>
    <tableColumn id="6" name="Zwischensumme" dataDxfId="31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Februar" displayName="Februar" ref="A7:G35" totalsRowShown="0">
  <autoFilter ref="A7:G35"/>
  <tableColumns count="7">
    <tableColumn id="1" name="Datum"/>
    <tableColumn id="2" name="Beginn" dataDxfId="30"/>
    <tableColumn id="3" name="Ende" dataDxfId="29"/>
    <tableColumn id="4" name="Pause" dataDxfId="28"/>
    <tableColumn id="5" name="Arbeitszeit" dataDxfId="27"/>
    <tableColumn id="6" name="Zwischensumme"/>
    <tableColumn id="7" name="Bemerku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" name="Maerz" displayName="Maerz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April" displayName="April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Mai" displayName="Mai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0"/>
  <sheetViews>
    <sheetView tabSelected="1" zoomScaleNormal="100" workbookViewId="0">
      <selection activeCell="C10" sqref="C10"/>
    </sheetView>
  </sheetViews>
  <sheetFormatPr baseColWidth="10" defaultColWidth="9" defaultRowHeight="12.75" x14ac:dyDescent="0.2"/>
  <cols>
    <col min="1" max="1" width="3.875" customWidth="1"/>
    <col min="2" max="2" width="20.375" customWidth="1"/>
    <col min="3" max="3" width="19.25" customWidth="1"/>
    <col min="4" max="4" width="14.75" customWidth="1"/>
    <col min="5" max="6" width="11.875" customWidth="1"/>
    <col min="7" max="11" width="10.75" customWidth="1"/>
    <col min="12" max="12" width="25.625" customWidth="1"/>
    <col min="13" max="13" width="10.75" customWidth="1"/>
    <col min="14" max="14" width="15.5" customWidth="1"/>
    <col min="15" max="15" width="10.75" customWidth="1"/>
    <col min="16" max="16" width="11.75" customWidth="1"/>
    <col min="17" max="17" width="17.625" customWidth="1"/>
    <col min="18" max="18" width="10.75" customWidth="1"/>
    <col min="19" max="19" width="26.25" customWidth="1"/>
    <col min="20" max="20" width="10.75" customWidth="1"/>
    <col min="21" max="21" width="17" customWidth="1"/>
    <col min="22" max="23" width="10.75" customWidth="1"/>
    <col min="24" max="24" width="23.125" customWidth="1"/>
    <col min="25" max="1025" width="10.75" customWidth="1"/>
  </cols>
  <sheetData>
    <row r="1" spans="2:4" x14ac:dyDescent="0.2">
      <c r="B1" s="54" t="s">
        <v>75</v>
      </c>
      <c r="D1" s="54" t="s">
        <v>90</v>
      </c>
    </row>
    <row r="2" spans="2:4" x14ac:dyDescent="0.2">
      <c r="B2" s="54" t="s">
        <v>86</v>
      </c>
    </row>
    <row r="3" spans="2:4" x14ac:dyDescent="0.2">
      <c r="B3" s="54" t="s">
        <v>76</v>
      </c>
    </row>
    <row r="4" spans="2:4" x14ac:dyDescent="0.2">
      <c r="B4" s="54" t="s">
        <v>77</v>
      </c>
    </row>
    <row r="8" spans="2:4" ht="18" x14ac:dyDescent="0.25">
      <c r="B8" s="1" t="s">
        <v>0</v>
      </c>
    </row>
    <row r="10" spans="2:4" ht="19.5" customHeight="1" x14ac:dyDescent="0.2">
      <c r="B10" s="58" t="s">
        <v>44</v>
      </c>
      <c r="C10" s="59"/>
      <c r="D10" s="64" t="s">
        <v>1</v>
      </c>
    </row>
    <row r="11" spans="2:4" ht="19.5" customHeight="1" x14ac:dyDescent="0.2">
      <c r="B11" s="58" t="s">
        <v>45</v>
      </c>
      <c r="C11" s="60"/>
      <c r="D11" s="64"/>
    </row>
    <row r="12" spans="2:4" ht="19.5" customHeight="1" x14ac:dyDescent="0.2">
      <c r="B12" s="58" t="s">
        <v>78</v>
      </c>
      <c r="C12" s="60"/>
      <c r="D12" s="64"/>
    </row>
    <row r="13" spans="2:4" ht="19.5" customHeight="1" x14ac:dyDescent="0.2">
      <c r="B13" s="58" t="s">
        <v>79</v>
      </c>
      <c r="C13" s="61">
        <v>2023</v>
      </c>
      <c r="D13" s="64"/>
    </row>
    <row r="14" spans="2:4" ht="19.5" customHeight="1" x14ac:dyDescent="0.2">
      <c r="B14" s="62" t="s">
        <v>80</v>
      </c>
      <c r="C14" s="63">
        <v>1.6666666666666667</v>
      </c>
      <c r="D14" s="64"/>
    </row>
    <row r="16" spans="2:4" ht="15" customHeight="1" x14ac:dyDescent="0.2">
      <c r="B16" s="56" t="s">
        <v>2</v>
      </c>
      <c r="C16" s="57">
        <v>2.0833333333333301E-2</v>
      </c>
    </row>
    <row r="17" spans="2:3" ht="15" customHeight="1" x14ac:dyDescent="0.2">
      <c r="B17" s="55" t="s">
        <v>3</v>
      </c>
      <c r="C17" s="57">
        <v>3.125E-2</v>
      </c>
    </row>
    <row r="51" spans="20:24" x14ac:dyDescent="0.2">
      <c r="V51" s="3"/>
      <c r="W51" s="4">
        <f>C13</f>
        <v>2023</v>
      </c>
    </row>
    <row r="52" spans="20:24" x14ac:dyDescent="0.2">
      <c r="V52" s="3"/>
      <c r="W52" s="5"/>
      <c r="X52" s="2" t="s">
        <v>4</v>
      </c>
    </row>
    <row r="53" spans="20:24" x14ac:dyDescent="0.2">
      <c r="V53" s="3"/>
      <c r="W53" s="5">
        <f>INT(W51/100)</f>
        <v>20</v>
      </c>
    </row>
    <row r="54" spans="20:24" x14ac:dyDescent="0.2">
      <c r="W54" s="5">
        <f>MOD(19*MOD(W51,19)+W53-INT(W53/4)-INT((W53-INT((W53+8)/25)+1)/3)+15,30)</f>
        <v>15</v>
      </c>
    </row>
    <row r="55" spans="20:24" x14ac:dyDescent="0.2">
      <c r="W55" s="5">
        <f>MOD(32+2*MOD(W53,4)+2*INT(MOD(W51,100)/4)-W54-MOD(MOD(W51,100),4),7)</f>
        <v>3</v>
      </c>
    </row>
    <row r="56" spans="20:24" x14ac:dyDescent="0.2">
      <c r="W56" s="5">
        <f>W54+W55-7*INT((MOD(W51,19)+11*W54+22*W55)/451)+22</f>
        <v>40</v>
      </c>
    </row>
    <row r="57" spans="20:24" x14ac:dyDescent="0.2">
      <c r="W57" s="5"/>
    </row>
    <row r="58" spans="20:24" x14ac:dyDescent="0.2">
      <c r="W58" s="6" t="str">
        <f>TEXT(IF(W56-31 &lt; 1,W56,W56-31),"0#")&amp;"."&amp;IF(W56 &gt; 31,"04.","03.")&amp;W51</f>
        <v>09.04.2023</v>
      </c>
    </row>
    <row r="63" spans="20:24" x14ac:dyDescent="0.2">
      <c r="T63" s="7">
        <f>DOLLAR((DAY(MINUTE(C13/38)/2+55)&amp;".4."&amp;C13)/7,)*7-6</f>
        <v>43562</v>
      </c>
    </row>
    <row r="68" spans="19:26" ht="18" x14ac:dyDescent="0.25">
      <c r="S68" s="1" t="s">
        <v>5</v>
      </c>
    </row>
    <row r="69" spans="19:26" x14ac:dyDescent="0.2">
      <c r="U69" s="8">
        <v>1.625</v>
      </c>
    </row>
    <row r="70" spans="19:26" s="9" customFormat="1" ht="25.5" x14ac:dyDescent="0.2">
      <c r="S70" s="2" t="s">
        <v>6</v>
      </c>
      <c r="T70" s="10" t="s">
        <v>7</v>
      </c>
      <c r="U70" s="11" t="s">
        <v>8</v>
      </c>
      <c r="W70" s="12" t="s">
        <v>9</v>
      </c>
      <c r="X70" s="13" t="s">
        <v>10</v>
      </c>
      <c r="Z70" s="2" t="s">
        <v>11</v>
      </c>
    </row>
    <row r="71" spans="19:26" x14ac:dyDescent="0.2">
      <c r="T71" s="14">
        <v>1</v>
      </c>
      <c r="U71" s="8">
        <f t="shared" ref="U71:U102" si="0">$U$69*T71</f>
        <v>1.625</v>
      </c>
      <c r="W71" s="15"/>
      <c r="Z71" s="2" t="s">
        <v>12</v>
      </c>
    </row>
    <row r="72" spans="19:26" x14ac:dyDescent="0.2">
      <c r="T72" s="14">
        <v>0.99</v>
      </c>
      <c r="U72" s="8">
        <f t="shared" si="0"/>
        <v>1.6087499999999999</v>
      </c>
      <c r="W72" s="15"/>
      <c r="X72" s="2" t="s">
        <v>13</v>
      </c>
      <c r="Z72" s="2" t="s">
        <v>14</v>
      </c>
    </row>
    <row r="73" spans="19:26" x14ac:dyDescent="0.2">
      <c r="T73" s="14">
        <v>0.98</v>
      </c>
      <c r="U73" s="8">
        <f t="shared" si="0"/>
        <v>1.5925</v>
      </c>
      <c r="W73" s="15"/>
      <c r="X73" s="2" t="s">
        <v>15</v>
      </c>
      <c r="Z73">
        <v>0</v>
      </c>
    </row>
    <row r="74" spans="19:26" x14ac:dyDescent="0.2">
      <c r="T74" s="14">
        <v>0.97</v>
      </c>
      <c r="U74" s="8">
        <f t="shared" si="0"/>
        <v>1.5762499999999999</v>
      </c>
      <c r="W74" s="15"/>
      <c r="X74" s="2" t="s">
        <v>16</v>
      </c>
      <c r="Z74">
        <v>0</v>
      </c>
    </row>
    <row r="75" spans="19:26" x14ac:dyDescent="0.2">
      <c r="T75" s="14">
        <v>0.96</v>
      </c>
      <c r="U75" s="8">
        <f t="shared" si="0"/>
        <v>1.56</v>
      </c>
      <c r="W75" s="15"/>
      <c r="X75" s="2" t="s">
        <v>17</v>
      </c>
      <c r="Z75">
        <v>0</v>
      </c>
    </row>
    <row r="76" spans="19:26" x14ac:dyDescent="0.2">
      <c r="T76" s="14">
        <v>0.95</v>
      </c>
      <c r="U76" s="8">
        <f t="shared" si="0"/>
        <v>1.54375</v>
      </c>
      <c r="W76" s="15"/>
      <c r="X76" s="2" t="s">
        <v>18</v>
      </c>
      <c r="Z76">
        <v>0</v>
      </c>
    </row>
    <row r="77" spans="19:26" x14ac:dyDescent="0.2">
      <c r="T77" s="14">
        <v>0.94</v>
      </c>
      <c r="U77" s="8">
        <f t="shared" si="0"/>
        <v>1.5274999999999999</v>
      </c>
      <c r="W77" s="15"/>
      <c r="X77" s="2" t="s">
        <v>19</v>
      </c>
      <c r="Z77" s="2">
        <v>0</v>
      </c>
    </row>
    <row r="78" spans="19:26" x14ac:dyDescent="0.2">
      <c r="T78" s="14">
        <v>0.93</v>
      </c>
      <c r="U78" s="8">
        <f t="shared" si="0"/>
        <v>1.51125</v>
      </c>
      <c r="W78" s="15"/>
      <c r="X78" s="2" t="s">
        <v>20</v>
      </c>
      <c r="Z78">
        <v>0</v>
      </c>
    </row>
    <row r="79" spans="19:26" x14ac:dyDescent="0.2">
      <c r="T79" s="14">
        <v>0.92</v>
      </c>
      <c r="U79" s="8">
        <f t="shared" si="0"/>
        <v>1.4950000000000001</v>
      </c>
      <c r="V79" s="16"/>
      <c r="W79" s="15">
        <f>DATE(C13,1,1)</f>
        <v>43465</v>
      </c>
      <c r="X79" s="2" t="s">
        <v>21</v>
      </c>
      <c r="Z79">
        <v>0</v>
      </c>
    </row>
    <row r="80" spans="19:26" x14ac:dyDescent="0.2">
      <c r="T80" s="14">
        <v>0.91</v>
      </c>
      <c r="U80" s="8">
        <f t="shared" si="0"/>
        <v>1.47875</v>
      </c>
      <c r="V80" s="16"/>
      <c r="W80" s="15">
        <f>W58-2</f>
        <v>43561</v>
      </c>
      <c r="X80" s="2" t="s">
        <v>22</v>
      </c>
      <c r="Z80">
        <v>0</v>
      </c>
    </row>
    <row r="81" spans="20:26" x14ac:dyDescent="0.2">
      <c r="T81" s="14">
        <v>0.9</v>
      </c>
      <c r="U81" s="8">
        <f t="shared" si="0"/>
        <v>1.4625000000000001</v>
      </c>
      <c r="V81" s="16"/>
      <c r="W81" s="15">
        <f>W58+1</f>
        <v>43564</v>
      </c>
      <c r="X81" t="s">
        <v>23</v>
      </c>
      <c r="Z81">
        <v>0</v>
      </c>
    </row>
    <row r="82" spans="20:26" x14ac:dyDescent="0.2">
      <c r="T82" s="14">
        <v>0.89</v>
      </c>
      <c r="U82" s="8">
        <f t="shared" si="0"/>
        <v>1.44625</v>
      </c>
      <c r="V82" s="16"/>
      <c r="W82" s="15">
        <f>DATE(C13,5,1)</f>
        <v>43585</v>
      </c>
      <c r="X82" s="2" t="s">
        <v>24</v>
      </c>
      <c r="Z82">
        <v>0</v>
      </c>
    </row>
    <row r="83" spans="20:26" x14ac:dyDescent="0.2">
      <c r="T83" s="14">
        <v>0.88</v>
      </c>
      <c r="U83" s="8">
        <f t="shared" si="0"/>
        <v>1.43</v>
      </c>
      <c r="V83" s="16"/>
      <c r="W83" s="15">
        <f>W58+39</f>
        <v>43602</v>
      </c>
      <c r="X83" t="s">
        <v>25</v>
      </c>
      <c r="Z83">
        <v>0</v>
      </c>
    </row>
    <row r="84" spans="20:26" x14ac:dyDescent="0.2">
      <c r="T84" s="14">
        <v>0.87</v>
      </c>
      <c r="U84" s="8">
        <f t="shared" si="0"/>
        <v>1.4137500000000001</v>
      </c>
      <c r="V84" s="16"/>
      <c r="W84" s="15">
        <f>W58+50</f>
        <v>43613</v>
      </c>
      <c r="X84" t="s">
        <v>26</v>
      </c>
      <c r="Z84">
        <v>0</v>
      </c>
    </row>
    <row r="85" spans="20:26" x14ac:dyDescent="0.2">
      <c r="T85" s="14">
        <v>0.86</v>
      </c>
      <c r="U85" s="8">
        <f t="shared" si="0"/>
        <v>1.3975</v>
      </c>
      <c r="V85" s="16"/>
      <c r="W85" s="15">
        <f>DATE(C13,10,3)</f>
        <v>43740</v>
      </c>
      <c r="X85" t="s">
        <v>27</v>
      </c>
      <c r="Z85">
        <v>0</v>
      </c>
    </row>
    <row r="86" spans="20:26" x14ac:dyDescent="0.2">
      <c r="T86" s="14">
        <v>0.85</v>
      </c>
      <c r="U86" s="8">
        <f t="shared" si="0"/>
        <v>1.3812499999999999</v>
      </c>
      <c r="V86" s="16"/>
      <c r="W86" s="15">
        <f>DATE(C13,12,25)</f>
        <v>43823</v>
      </c>
      <c r="X86" t="s">
        <v>28</v>
      </c>
      <c r="Z86">
        <v>0</v>
      </c>
    </row>
    <row r="87" spans="20:26" x14ac:dyDescent="0.2">
      <c r="T87" s="14">
        <v>0.84</v>
      </c>
      <c r="U87" s="8">
        <f t="shared" si="0"/>
        <v>1.365</v>
      </c>
      <c r="V87" s="16"/>
      <c r="W87" s="15">
        <f>DATE(C13,12,26)</f>
        <v>43824</v>
      </c>
      <c r="X87" t="s">
        <v>28</v>
      </c>
      <c r="Z87">
        <v>0</v>
      </c>
    </row>
    <row r="88" spans="20:26" x14ac:dyDescent="0.2">
      <c r="T88" s="14">
        <v>0.83</v>
      </c>
      <c r="U88" s="8">
        <f t="shared" si="0"/>
        <v>1.3487499999999999</v>
      </c>
    </row>
    <row r="89" spans="20:26" x14ac:dyDescent="0.2">
      <c r="T89" s="14">
        <v>0.82</v>
      </c>
      <c r="U89" s="8">
        <f t="shared" si="0"/>
        <v>1.3325</v>
      </c>
    </row>
    <row r="90" spans="20:26" x14ac:dyDescent="0.2">
      <c r="T90" s="14">
        <v>0.81</v>
      </c>
      <c r="U90" s="8">
        <f t="shared" si="0"/>
        <v>1.3162500000000001</v>
      </c>
      <c r="W90" s="2" t="s">
        <v>29</v>
      </c>
      <c r="X90" s="2" t="s">
        <v>30</v>
      </c>
      <c r="Y90" s="17" t="s">
        <v>31</v>
      </c>
    </row>
    <row r="91" spans="20:26" x14ac:dyDescent="0.2">
      <c r="T91" s="14">
        <v>0.8</v>
      </c>
      <c r="U91" s="8">
        <f t="shared" si="0"/>
        <v>1.3</v>
      </c>
      <c r="W91">
        <v>1</v>
      </c>
      <c r="X91" s="2" t="s">
        <v>32</v>
      </c>
      <c r="Y91" s="18" t="e">
        <f>IF(AND(EXACT(#REF!,0),EXACT(#REF!,0),EXACT(#REF!,0),EXACT(#REF!,0),EXACT(#REF!,0)),#REF!/5,N(#REF!))</f>
        <v>#REF!</v>
      </c>
    </row>
    <row r="92" spans="20:26" x14ac:dyDescent="0.2">
      <c r="T92" s="14">
        <v>0.79</v>
      </c>
      <c r="U92" s="8">
        <f t="shared" si="0"/>
        <v>1.2837499999999999</v>
      </c>
      <c r="W92">
        <v>2</v>
      </c>
      <c r="X92" s="17" t="s">
        <v>33</v>
      </c>
      <c r="Y92" s="18" t="e">
        <f>IF(AND(EXACT(#REF!,0),EXACT(#REF!,0),EXACT(#REF!,0),EXACT(#REF!,0),EXACT(#REF!,0)),#REF!/5,N(#REF!))</f>
        <v>#REF!</v>
      </c>
    </row>
    <row r="93" spans="20:26" x14ac:dyDescent="0.2">
      <c r="T93" s="14">
        <v>0.78</v>
      </c>
      <c r="U93" s="8">
        <f t="shared" si="0"/>
        <v>1.2675000000000001</v>
      </c>
      <c r="W93">
        <v>3</v>
      </c>
      <c r="X93" s="2" t="s">
        <v>34</v>
      </c>
      <c r="Y93" s="18" t="e">
        <f>IF(AND(EXACT(#REF!,0),EXACT(#REF!,0),EXACT(#REF!,0),EXACT(#REF!,0),EXACT(#REF!,0)),#REF!/5,N(#REF!))</f>
        <v>#REF!</v>
      </c>
    </row>
    <row r="94" spans="20:26" x14ac:dyDescent="0.2">
      <c r="T94" s="14">
        <v>0.77</v>
      </c>
      <c r="U94" s="8">
        <f t="shared" si="0"/>
        <v>1.25125</v>
      </c>
      <c r="W94">
        <v>4</v>
      </c>
      <c r="X94" s="2" t="s">
        <v>35</v>
      </c>
      <c r="Y94" s="18" t="e">
        <f>IF(AND(EXACT(#REF!,0),EXACT(#REF!,0),EXACT(#REF!,0),EXACT(#REF!,0),EXACT(#REF!,0)),#REF!/5,N(#REF!))</f>
        <v>#REF!</v>
      </c>
    </row>
    <row r="95" spans="20:26" x14ac:dyDescent="0.2">
      <c r="T95" s="14">
        <v>0.76</v>
      </c>
      <c r="U95" s="8">
        <f t="shared" si="0"/>
        <v>1.2350000000000001</v>
      </c>
      <c r="W95">
        <v>5</v>
      </c>
      <c r="X95" s="2" t="s">
        <v>36</v>
      </c>
      <c r="Y95" s="18" t="e">
        <f>IF(AND(EXACT(#REF!,0),EXACT(#REF!,0),EXACT(#REF!,0),EXACT(#REF!,0),EXACT(#REF!,0)),#REF!/5,N(#REF!))</f>
        <v>#REF!</v>
      </c>
    </row>
    <row r="96" spans="20:26" x14ac:dyDescent="0.2">
      <c r="T96" s="14">
        <v>0.75</v>
      </c>
      <c r="U96" s="8">
        <f t="shared" si="0"/>
        <v>1.21875</v>
      </c>
      <c r="W96">
        <v>6</v>
      </c>
      <c r="X96" s="2" t="s">
        <v>37</v>
      </c>
      <c r="Y96" s="18" t="e">
        <f>IF(NOT(VLOOKUP(#REF!,Wahrheitswerte[],2,0)),0,#REF!)</f>
        <v>#REF!</v>
      </c>
    </row>
    <row r="97" spans="13:25" x14ac:dyDescent="0.2">
      <c r="T97" s="14">
        <v>0.74</v>
      </c>
      <c r="U97" s="8">
        <f t="shared" si="0"/>
        <v>1.2024999999999999</v>
      </c>
      <c r="W97">
        <v>7</v>
      </c>
      <c r="X97" s="2" t="s">
        <v>38</v>
      </c>
      <c r="Y97" s="18" t="e">
        <f>IF(NOT(VLOOKUP(#REF!,Wahrheitswerte[],2,0)),0,#REF!)</f>
        <v>#REF!</v>
      </c>
    </row>
    <row r="98" spans="13:25" x14ac:dyDescent="0.2">
      <c r="T98" s="14">
        <v>0.73</v>
      </c>
      <c r="U98" s="8">
        <f t="shared" si="0"/>
        <v>1.18625</v>
      </c>
    </row>
    <row r="99" spans="13:25" x14ac:dyDescent="0.2">
      <c r="T99" s="14">
        <v>0.72</v>
      </c>
      <c r="U99" s="8">
        <f t="shared" si="0"/>
        <v>1.17</v>
      </c>
      <c r="Y99" t="e">
        <f>#REF!=SUM($Y$91:$Y$97)</f>
        <v>#REF!</v>
      </c>
    </row>
    <row r="100" spans="13:25" x14ac:dyDescent="0.2">
      <c r="M100" s="14"/>
      <c r="N100" s="18"/>
      <c r="T100" s="14">
        <v>0.71</v>
      </c>
      <c r="U100" s="8">
        <f t="shared" si="0"/>
        <v>1.1537500000000001</v>
      </c>
    </row>
    <row r="101" spans="13:25" x14ac:dyDescent="0.2">
      <c r="M101" s="14"/>
      <c r="N101" s="18"/>
      <c r="T101" s="14">
        <v>0.7</v>
      </c>
      <c r="U101" s="8">
        <f t="shared" si="0"/>
        <v>1.1375</v>
      </c>
    </row>
    <row r="102" spans="13:25" x14ac:dyDescent="0.2">
      <c r="M102" s="14"/>
      <c r="N102" s="18"/>
      <c r="T102" s="14">
        <v>0.69</v>
      </c>
      <c r="U102" s="8">
        <f t="shared" si="0"/>
        <v>1.1212499999999999</v>
      </c>
    </row>
    <row r="103" spans="13:25" x14ac:dyDescent="0.2">
      <c r="M103" s="14"/>
      <c r="N103" s="18"/>
      <c r="T103" s="14">
        <v>0.68</v>
      </c>
      <c r="U103" s="8">
        <f t="shared" ref="U103:U134" si="1">$U$69*T103</f>
        <v>1.105</v>
      </c>
    </row>
    <row r="104" spans="13:25" x14ac:dyDescent="0.2">
      <c r="M104" s="14"/>
      <c r="N104" s="18"/>
      <c r="T104" s="14">
        <v>0.67</v>
      </c>
      <c r="U104" s="8">
        <f t="shared" si="1"/>
        <v>1.0887500000000001</v>
      </c>
      <c r="W104" s="2" t="s">
        <v>39</v>
      </c>
      <c r="X104" s="2" t="s">
        <v>40</v>
      </c>
    </row>
    <row r="105" spans="13:25" x14ac:dyDescent="0.2">
      <c r="M105" s="14"/>
      <c r="N105" s="18"/>
      <c r="T105" s="14">
        <v>0.66</v>
      </c>
      <c r="U105" s="8">
        <f t="shared" si="1"/>
        <v>1.0725</v>
      </c>
      <c r="W105" t="s">
        <v>41</v>
      </c>
      <c r="X105">
        <f>1</f>
        <v>1</v>
      </c>
    </row>
    <row r="106" spans="13:25" x14ac:dyDescent="0.2">
      <c r="M106" s="14"/>
      <c r="N106" s="18"/>
      <c r="T106" s="14">
        <v>0.65</v>
      </c>
      <c r="U106" s="8">
        <f t="shared" si="1"/>
        <v>1.0562500000000001</v>
      </c>
      <c r="W106" t="s">
        <v>42</v>
      </c>
      <c r="X106">
        <f>0</f>
        <v>0</v>
      </c>
    </row>
    <row r="107" spans="13:25" x14ac:dyDescent="0.2">
      <c r="M107" s="14"/>
      <c r="N107" s="18"/>
      <c r="T107" s="14">
        <v>0.64</v>
      </c>
      <c r="U107" s="8">
        <f t="shared" si="1"/>
        <v>1.04</v>
      </c>
    </row>
    <row r="108" spans="13:25" x14ac:dyDescent="0.2">
      <c r="M108" s="14"/>
      <c r="N108" s="18"/>
      <c r="T108" s="14">
        <v>0.63</v>
      </c>
      <c r="U108" s="8">
        <f t="shared" si="1"/>
        <v>1.0237499999999999</v>
      </c>
      <c r="X108" t="e">
        <f>VLOOKUP(#REF!,Wahrheitswerte[],2,0)</f>
        <v>#REF!</v>
      </c>
    </row>
    <row r="109" spans="13:25" x14ac:dyDescent="0.2">
      <c r="M109" s="14"/>
      <c r="N109" s="18"/>
      <c r="T109" s="14">
        <v>0.62</v>
      </c>
      <c r="U109" s="8">
        <f t="shared" si="1"/>
        <v>1.0075000000000001</v>
      </c>
    </row>
    <row r="110" spans="13:25" x14ac:dyDescent="0.2">
      <c r="T110" s="14">
        <v>0.61</v>
      </c>
      <c r="U110" s="8">
        <f t="shared" si="1"/>
        <v>0.99124999999999996</v>
      </c>
    </row>
    <row r="111" spans="13:25" x14ac:dyDescent="0.2">
      <c r="T111" s="14">
        <v>0.6</v>
      </c>
      <c r="U111" s="8">
        <f t="shared" si="1"/>
        <v>0.97499999999999998</v>
      </c>
    </row>
    <row r="112" spans="13:25" x14ac:dyDescent="0.2">
      <c r="T112" s="14">
        <v>0.59</v>
      </c>
      <c r="U112" s="8">
        <f t="shared" si="1"/>
        <v>0.95874999999999999</v>
      </c>
    </row>
    <row r="113" spans="20:21" x14ac:dyDescent="0.2">
      <c r="T113" s="14">
        <v>0.57999999999999996</v>
      </c>
      <c r="U113" s="8">
        <f t="shared" si="1"/>
        <v>0.94249999999999989</v>
      </c>
    </row>
    <row r="114" spans="20:21" x14ac:dyDescent="0.2">
      <c r="T114" s="14">
        <v>0.56999999999999995</v>
      </c>
      <c r="U114" s="8">
        <f t="shared" si="1"/>
        <v>0.92624999999999991</v>
      </c>
    </row>
    <row r="115" spans="20:21" x14ac:dyDescent="0.2">
      <c r="T115" s="14">
        <v>0.56000000000000005</v>
      </c>
      <c r="U115" s="8">
        <f t="shared" si="1"/>
        <v>0.91000000000000014</v>
      </c>
    </row>
    <row r="116" spans="20:21" x14ac:dyDescent="0.2">
      <c r="T116" s="14">
        <v>0.55000000000000004</v>
      </c>
      <c r="U116" s="8">
        <f t="shared" si="1"/>
        <v>0.89375000000000004</v>
      </c>
    </row>
    <row r="117" spans="20:21" x14ac:dyDescent="0.2">
      <c r="T117" s="14">
        <v>0.54</v>
      </c>
      <c r="U117" s="8">
        <f t="shared" si="1"/>
        <v>0.87750000000000006</v>
      </c>
    </row>
    <row r="118" spans="20:21" x14ac:dyDescent="0.2">
      <c r="T118" s="14">
        <v>0.53</v>
      </c>
      <c r="U118" s="8">
        <f t="shared" si="1"/>
        <v>0.86125000000000007</v>
      </c>
    </row>
    <row r="119" spans="20:21" x14ac:dyDescent="0.2">
      <c r="T119" s="14">
        <v>0.52</v>
      </c>
      <c r="U119" s="8">
        <f t="shared" si="1"/>
        <v>0.84499999999999997</v>
      </c>
    </row>
    <row r="120" spans="20:21" x14ac:dyDescent="0.2">
      <c r="T120" s="14">
        <v>0.51</v>
      </c>
      <c r="U120" s="8">
        <f t="shared" si="1"/>
        <v>0.82874999999999999</v>
      </c>
    </row>
    <row r="121" spans="20:21" x14ac:dyDescent="0.2">
      <c r="T121" s="14">
        <v>0.5</v>
      </c>
      <c r="U121" s="8">
        <f t="shared" si="1"/>
        <v>0.8125</v>
      </c>
    </row>
    <row r="122" spans="20:21" x14ac:dyDescent="0.2">
      <c r="T122" s="14">
        <v>0.49</v>
      </c>
      <c r="U122" s="8">
        <f t="shared" si="1"/>
        <v>0.79625000000000001</v>
      </c>
    </row>
    <row r="123" spans="20:21" x14ac:dyDescent="0.2">
      <c r="T123" s="14">
        <v>0.48</v>
      </c>
      <c r="U123" s="8">
        <f t="shared" si="1"/>
        <v>0.78</v>
      </c>
    </row>
    <row r="124" spans="20:21" x14ac:dyDescent="0.2">
      <c r="T124" s="14">
        <v>0.47</v>
      </c>
      <c r="U124" s="8">
        <f t="shared" si="1"/>
        <v>0.76374999999999993</v>
      </c>
    </row>
    <row r="125" spans="20:21" x14ac:dyDescent="0.2">
      <c r="T125" s="14">
        <v>0.46</v>
      </c>
      <c r="U125" s="8">
        <f t="shared" si="1"/>
        <v>0.74750000000000005</v>
      </c>
    </row>
    <row r="126" spans="20:21" x14ac:dyDescent="0.2">
      <c r="T126" s="14">
        <v>0.45</v>
      </c>
      <c r="U126" s="8">
        <f t="shared" si="1"/>
        <v>0.73125000000000007</v>
      </c>
    </row>
    <row r="127" spans="20:21" x14ac:dyDescent="0.2">
      <c r="T127" s="14">
        <v>0.44</v>
      </c>
      <c r="U127" s="8">
        <f t="shared" si="1"/>
        <v>0.71499999999999997</v>
      </c>
    </row>
    <row r="128" spans="20:21" x14ac:dyDescent="0.2">
      <c r="T128" s="14">
        <v>0.43</v>
      </c>
      <c r="U128" s="8">
        <f t="shared" si="1"/>
        <v>0.69874999999999998</v>
      </c>
    </row>
    <row r="129" spans="20:21" x14ac:dyDescent="0.2">
      <c r="T129" s="14">
        <v>0.42</v>
      </c>
      <c r="U129" s="8">
        <f t="shared" si="1"/>
        <v>0.6825</v>
      </c>
    </row>
    <row r="130" spans="20:21" x14ac:dyDescent="0.2">
      <c r="T130" s="14">
        <v>0.41</v>
      </c>
      <c r="U130" s="8">
        <f t="shared" si="1"/>
        <v>0.66625000000000001</v>
      </c>
    </row>
    <row r="131" spans="20:21" x14ac:dyDescent="0.2">
      <c r="T131" s="14">
        <v>0.4</v>
      </c>
      <c r="U131" s="8">
        <f t="shared" si="1"/>
        <v>0.65</v>
      </c>
    </row>
    <row r="132" spans="20:21" x14ac:dyDescent="0.2">
      <c r="T132" s="14">
        <v>0.39</v>
      </c>
      <c r="U132" s="8">
        <f t="shared" si="1"/>
        <v>0.63375000000000004</v>
      </c>
    </row>
    <row r="133" spans="20:21" x14ac:dyDescent="0.2">
      <c r="T133" s="14">
        <v>0.38</v>
      </c>
      <c r="U133" s="8">
        <f t="shared" si="1"/>
        <v>0.61750000000000005</v>
      </c>
    </row>
    <row r="134" spans="20:21" x14ac:dyDescent="0.2">
      <c r="T134" s="14">
        <v>0.37</v>
      </c>
      <c r="U134" s="8">
        <f t="shared" si="1"/>
        <v>0.60124999999999995</v>
      </c>
    </row>
    <row r="135" spans="20:21" x14ac:dyDescent="0.2">
      <c r="T135" s="14">
        <v>0.36</v>
      </c>
      <c r="U135" s="8">
        <f t="shared" ref="U135:U166" si="2">$U$69*T135</f>
        <v>0.58499999999999996</v>
      </c>
    </row>
    <row r="136" spans="20:21" x14ac:dyDescent="0.2">
      <c r="T136" s="14">
        <v>0.35</v>
      </c>
      <c r="U136" s="8">
        <f t="shared" si="2"/>
        <v>0.56874999999999998</v>
      </c>
    </row>
    <row r="137" spans="20:21" x14ac:dyDescent="0.2">
      <c r="T137" s="14">
        <v>0.34</v>
      </c>
      <c r="U137" s="8">
        <f t="shared" si="2"/>
        <v>0.55249999999999999</v>
      </c>
    </row>
    <row r="138" spans="20:21" x14ac:dyDescent="0.2">
      <c r="T138" s="14">
        <v>0.33</v>
      </c>
      <c r="U138" s="8">
        <f t="shared" si="2"/>
        <v>0.53625</v>
      </c>
    </row>
    <row r="139" spans="20:21" x14ac:dyDescent="0.2">
      <c r="T139" s="14">
        <v>0.32</v>
      </c>
      <c r="U139" s="8">
        <f t="shared" si="2"/>
        <v>0.52</v>
      </c>
    </row>
    <row r="140" spans="20:21" x14ac:dyDescent="0.2">
      <c r="T140" s="14">
        <v>0.31</v>
      </c>
      <c r="U140" s="8">
        <f t="shared" si="2"/>
        <v>0.50375000000000003</v>
      </c>
    </row>
    <row r="141" spans="20:21" x14ac:dyDescent="0.2">
      <c r="T141" s="14">
        <v>0.3</v>
      </c>
      <c r="U141" s="8">
        <f t="shared" si="2"/>
        <v>0.48749999999999999</v>
      </c>
    </row>
    <row r="142" spans="20:21" x14ac:dyDescent="0.2">
      <c r="T142" s="14">
        <v>0.28999999999999998</v>
      </c>
      <c r="U142" s="8">
        <f t="shared" si="2"/>
        <v>0.47124999999999995</v>
      </c>
    </row>
    <row r="143" spans="20:21" x14ac:dyDescent="0.2">
      <c r="T143" s="14">
        <v>0.28000000000000003</v>
      </c>
      <c r="U143" s="8">
        <f t="shared" si="2"/>
        <v>0.45500000000000007</v>
      </c>
    </row>
    <row r="144" spans="20:21" x14ac:dyDescent="0.2">
      <c r="T144" s="14">
        <v>0.27</v>
      </c>
      <c r="U144" s="8">
        <f t="shared" si="2"/>
        <v>0.43875000000000003</v>
      </c>
    </row>
    <row r="145" spans="20:21" x14ac:dyDescent="0.2">
      <c r="T145" s="14">
        <v>0.26</v>
      </c>
      <c r="U145" s="8">
        <f t="shared" si="2"/>
        <v>0.42249999999999999</v>
      </c>
    </row>
    <row r="146" spans="20:21" x14ac:dyDescent="0.2">
      <c r="T146" s="14">
        <v>0.25</v>
      </c>
      <c r="U146" s="8">
        <f t="shared" si="2"/>
        <v>0.40625</v>
      </c>
    </row>
    <row r="147" spans="20:21" x14ac:dyDescent="0.2">
      <c r="T147" s="14">
        <v>0.24</v>
      </c>
      <c r="U147" s="8">
        <f t="shared" si="2"/>
        <v>0.39</v>
      </c>
    </row>
    <row r="148" spans="20:21" x14ac:dyDescent="0.2">
      <c r="T148" s="14">
        <v>0.23</v>
      </c>
      <c r="U148" s="8">
        <f t="shared" si="2"/>
        <v>0.37375000000000003</v>
      </c>
    </row>
    <row r="149" spans="20:21" x14ac:dyDescent="0.2">
      <c r="T149" s="14">
        <v>0.22</v>
      </c>
      <c r="U149" s="8">
        <f t="shared" si="2"/>
        <v>0.35749999999999998</v>
      </c>
    </row>
    <row r="150" spans="20:21" x14ac:dyDescent="0.2">
      <c r="T150" s="14">
        <v>0.21</v>
      </c>
      <c r="U150" s="8">
        <f t="shared" si="2"/>
        <v>0.34125</v>
      </c>
    </row>
    <row r="151" spans="20:21" x14ac:dyDescent="0.2">
      <c r="T151" s="14">
        <v>0.2</v>
      </c>
      <c r="U151" s="8">
        <f t="shared" si="2"/>
        <v>0.32500000000000001</v>
      </c>
    </row>
    <row r="152" spans="20:21" x14ac:dyDescent="0.2">
      <c r="T152" s="14">
        <v>0.19</v>
      </c>
      <c r="U152" s="8">
        <f t="shared" si="2"/>
        <v>0.30875000000000002</v>
      </c>
    </row>
    <row r="153" spans="20:21" x14ac:dyDescent="0.2">
      <c r="T153" s="14">
        <v>0.18</v>
      </c>
      <c r="U153" s="8">
        <f t="shared" si="2"/>
        <v>0.29249999999999998</v>
      </c>
    </row>
    <row r="154" spans="20:21" x14ac:dyDescent="0.2">
      <c r="T154" s="14">
        <v>0.17</v>
      </c>
      <c r="U154" s="8">
        <f t="shared" si="2"/>
        <v>0.27625</v>
      </c>
    </row>
    <row r="155" spans="20:21" x14ac:dyDescent="0.2">
      <c r="T155" s="14">
        <v>0.16</v>
      </c>
      <c r="U155" s="8">
        <f t="shared" si="2"/>
        <v>0.26</v>
      </c>
    </row>
    <row r="156" spans="20:21" x14ac:dyDescent="0.2">
      <c r="T156" s="14">
        <v>0.15</v>
      </c>
      <c r="U156" s="8">
        <f t="shared" si="2"/>
        <v>0.24374999999999999</v>
      </c>
    </row>
    <row r="157" spans="20:21" x14ac:dyDescent="0.2">
      <c r="T157" s="14">
        <v>0.14000000000000001</v>
      </c>
      <c r="U157" s="8">
        <f t="shared" si="2"/>
        <v>0.22750000000000004</v>
      </c>
    </row>
    <row r="158" spans="20:21" x14ac:dyDescent="0.2">
      <c r="T158" s="14">
        <v>0.13</v>
      </c>
      <c r="U158" s="8">
        <f t="shared" si="2"/>
        <v>0.21124999999999999</v>
      </c>
    </row>
    <row r="159" spans="20:21" x14ac:dyDescent="0.2">
      <c r="T159" s="14">
        <v>0.12</v>
      </c>
      <c r="U159" s="8">
        <f t="shared" si="2"/>
        <v>0.19500000000000001</v>
      </c>
    </row>
    <row r="160" spans="20:21" x14ac:dyDescent="0.2">
      <c r="T160" s="14">
        <v>0.11</v>
      </c>
      <c r="U160" s="8">
        <f t="shared" si="2"/>
        <v>0.17874999999999999</v>
      </c>
    </row>
    <row r="161" spans="20:21" x14ac:dyDescent="0.2">
      <c r="T161" s="14">
        <v>0.1</v>
      </c>
      <c r="U161" s="8">
        <f t="shared" si="2"/>
        <v>0.16250000000000001</v>
      </c>
    </row>
    <row r="162" spans="20:21" x14ac:dyDescent="0.2">
      <c r="T162" s="14">
        <v>0.09</v>
      </c>
      <c r="U162" s="8">
        <f t="shared" si="2"/>
        <v>0.14624999999999999</v>
      </c>
    </row>
    <row r="163" spans="20:21" x14ac:dyDescent="0.2">
      <c r="T163" s="14">
        <v>0.08</v>
      </c>
      <c r="U163" s="8">
        <f t="shared" si="2"/>
        <v>0.13</v>
      </c>
    </row>
    <row r="164" spans="20:21" x14ac:dyDescent="0.2">
      <c r="T164" s="14">
        <v>7.0000000000000007E-2</v>
      </c>
      <c r="U164" s="8">
        <f t="shared" si="2"/>
        <v>0.11375000000000002</v>
      </c>
    </row>
    <row r="165" spans="20:21" x14ac:dyDescent="0.2">
      <c r="T165" s="14">
        <v>0.06</v>
      </c>
      <c r="U165" s="8">
        <f t="shared" si="2"/>
        <v>9.7500000000000003E-2</v>
      </c>
    </row>
    <row r="166" spans="20:21" x14ac:dyDescent="0.2">
      <c r="T166" s="14">
        <v>4.9999999999999899E-2</v>
      </c>
      <c r="U166" s="8">
        <f t="shared" si="2"/>
        <v>8.1249999999999836E-2</v>
      </c>
    </row>
    <row r="167" spans="20:21" x14ac:dyDescent="0.2">
      <c r="T167" s="14">
        <v>0.04</v>
      </c>
      <c r="U167" s="8">
        <f t="shared" ref="U167:U170" si="3">$U$69*T167</f>
        <v>6.5000000000000002E-2</v>
      </c>
    </row>
    <row r="168" spans="20:21" x14ac:dyDescent="0.2">
      <c r="T168" s="14">
        <v>0.03</v>
      </c>
      <c r="U168" s="8">
        <f t="shared" si="3"/>
        <v>4.8750000000000002E-2</v>
      </c>
    </row>
    <row r="169" spans="20:21" x14ac:dyDescent="0.2">
      <c r="T169" s="14">
        <v>0.02</v>
      </c>
      <c r="U169" s="8">
        <f t="shared" si="3"/>
        <v>3.2500000000000001E-2</v>
      </c>
    </row>
    <row r="170" spans="20:21" x14ac:dyDescent="0.2">
      <c r="T170" s="14">
        <v>0.01</v>
      </c>
      <c r="U170" s="8">
        <f t="shared" si="3"/>
        <v>1.6250000000000001E-2</v>
      </c>
    </row>
  </sheetData>
  <mergeCells count="1">
    <mergeCell ref="D10:D1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2.25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DATE(Setup!C13,9,1)</f>
        <v>43708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August!F39</f>
        <v>-13.333333333333332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43708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September[[#This Row],[Ende]]-September[[#This Row],[Beginn]]-September[[#This Row],[Pause]]</f>
        <v>0</v>
      </c>
      <c r="F8" s="33">
        <f>$F$6+SUM($E$8:September[[#This Row],[Arbeitszeit]])</f>
        <v>-13.333333333333332</v>
      </c>
      <c r="G8" s="32"/>
      <c r="H8" s="35" t="e">
        <f>IF(ISNUMBER(MATCH(September[[#This Row],[Bemerkung]],Setup!$X$73:$X$86,0)),0,VLOOKUP(WEEKDAY(A8,2),Wochenzeiten[],3,0))</f>
        <v>#REF!</v>
      </c>
      <c r="I8" s="35" t="e">
        <f>IF(ISNUMBER(LOOKUP(September[[#This Row],[Bemerkung]],Setup!$X$71:$X72)),0,September[[#This Row],[Ende]]-September[[#This Row],[Beginn]]-September[[#This Row],[Pause]]-September[[#This Row],[Berechnungshilfe1]])</f>
        <v>#REF!</v>
      </c>
    </row>
    <row r="9" spans="1:15" ht="12.95" customHeight="1" x14ac:dyDescent="0.2">
      <c r="A9" s="53">
        <f t="shared" ref="A9:A37" si="1">A8+1</f>
        <v>43709</v>
      </c>
      <c r="B9" s="28">
        <v>0</v>
      </c>
      <c r="C9" s="28">
        <v>0</v>
      </c>
      <c r="D9" s="47">
        <f t="shared" si="0"/>
        <v>0</v>
      </c>
      <c r="E9" s="31">
        <f>September[[#This Row],[Ende]]-September[[#This Row],[Beginn]]-September[[#This Row],[Pause]]</f>
        <v>0</v>
      </c>
      <c r="F9" s="33">
        <f>$F$6+SUM($E$8:September[[#This Row],[Arbeitszeit]])</f>
        <v>-13.333333333333332</v>
      </c>
      <c r="G9" s="32"/>
      <c r="H9" s="35" t="e">
        <f>IF(ISNUMBER(MATCH(September[[#This Row],[Bemerkung]],Setup!$X$73:$X$86,0)),0,VLOOKUP(WEEKDAY(A9,2),Wochenzeiten[],3,0))</f>
        <v>#REF!</v>
      </c>
      <c r="I9" s="35" t="e">
        <f>IF(ISNUMBER(LOOKUP(September[[#This Row],[Bemerkung]],Setup!$X$71:$X73)),0,September[[#This Row],[Ende]]-September[[#This Row],[Beginn]]-September[[#This Row],[Pause]]-September[[#This Row],[Berechnungshilfe1]])</f>
        <v>#REF!</v>
      </c>
    </row>
    <row r="10" spans="1:15" ht="12.95" customHeight="1" x14ac:dyDescent="0.2">
      <c r="A10" s="53">
        <f t="shared" si="1"/>
        <v>43710</v>
      </c>
      <c r="B10" s="28">
        <v>0</v>
      </c>
      <c r="C10" s="28">
        <v>0</v>
      </c>
      <c r="D10" s="47">
        <f t="shared" si="0"/>
        <v>0</v>
      </c>
      <c r="E10" s="31">
        <f>September[[#This Row],[Ende]]-September[[#This Row],[Beginn]]-September[[#This Row],[Pause]]</f>
        <v>0</v>
      </c>
      <c r="F10" s="33">
        <f>$F$6+SUM($E$8:September[[#This Row],[Arbeitszeit]])</f>
        <v>-13.333333333333332</v>
      </c>
      <c r="G10" s="34"/>
      <c r="H10" s="35" t="e">
        <f>IF(ISNUMBER(MATCH(September[[#This Row],[Bemerkung]],Setup!$X$73:$X$86,0)),0,VLOOKUP(WEEKDAY(A10,2),Wochenzeiten[],3,0))</f>
        <v>#REF!</v>
      </c>
      <c r="I10" s="35" t="e">
        <f>IF(ISNUMBER(LOOKUP(September[[#This Row],[Bemerkung]],Setup!$X$71:$X74)),0,September[[#This Row],[Ende]]-September[[#This Row],[Beginn]]-September[[#This Row],[Pause]]-September[[#This Row],[Berechnungshilfe1]])</f>
        <v>#REF!</v>
      </c>
    </row>
    <row r="11" spans="1:15" ht="12.95" customHeight="1" x14ac:dyDescent="0.2">
      <c r="A11" s="53">
        <f t="shared" si="1"/>
        <v>43711</v>
      </c>
      <c r="B11" s="28">
        <v>0</v>
      </c>
      <c r="C11" s="28">
        <v>0</v>
      </c>
      <c r="D11" s="47">
        <f t="shared" si="0"/>
        <v>0</v>
      </c>
      <c r="E11" s="31">
        <f>September[[#This Row],[Ende]]-September[[#This Row],[Beginn]]-September[[#This Row],[Pause]]</f>
        <v>0</v>
      </c>
      <c r="F11" s="33">
        <f>$F$6+SUM($E$8:September[[#This Row],[Arbeitszeit]])</f>
        <v>-13.333333333333332</v>
      </c>
      <c r="G11" s="32"/>
      <c r="H11" s="35" t="e">
        <f>IF(ISNUMBER(MATCH(September[[#This Row],[Bemerkung]],Setup!$X$73:$X$86,0)),0,VLOOKUP(WEEKDAY(A11,2),Wochenzeiten[],3,0))</f>
        <v>#REF!</v>
      </c>
      <c r="I11" s="35" t="e">
        <f>IF(ISNUMBER(LOOKUP(September[[#This Row],[Bemerkung]],Setup!$X$71:$X75)),0,September[[#This Row],[Ende]]-September[[#This Row],[Beginn]]-September[[#This Row],[Pause]]-September[[#This Row],[Berechnungshilfe1]])</f>
        <v>#REF!</v>
      </c>
    </row>
    <row r="12" spans="1:15" ht="12.95" customHeight="1" x14ac:dyDescent="0.2">
      <c r="A12" s="53">
        <f t="shared" si="1"/>
        <v>43712</v>
      </c>
      <c r="B12" s="28">
        <v>0</v>
      </c>
      <c r="C12" s="28">
        <v>0</v>
      </c>
      <c r="D12" s="47">
        <f t="shared" si="0"/>
        <v>0</v>
      </c>
      <c r="E12" s="31">
        <f>September[[#This Row],[Ende]]-September[[#This Row],[Beginn]]-September[[#This Row],[Pause]]</f>
        <v>0</v>
      </c>
      <c r="F12" s="33">
        <f>$F$6+SUM($E$8:September[[#This Row],[Arbeitszeit]])</f>
        <v>-13.333333333333332</v>
      </c>
      <c r="G12" s="32"/>
      <c r="H12" s="35" t="e">
        <f>IF(ISNUMBER(MATCH(September[[#This Row],[Bemerkung]],Setup!$X$73:$X$86,0)),0,VLOOKUP(WEEKDAY(A12,2),Wochenzeiten[],3,0))</f>
        <v>#REF!</v>
      </c>
      <c r="I12" s="35" t="e">
        <f>IF(ISNUMBER(LOOKUP(September[[#This Row],[Bemerkung]],Setup!$X$71:$X76)),0,September[[#This Row],[Ende]]-September[[#This Row],[Beginn]]-September[[#This Row],[Pause]]-September[[#This Row],[Berechnungshilfe1]])</f>
        <v>#REF!</v>
      </c>
    </row>
    <row r="13" spans="1:15" ht="12.95" customHeight="1" x14ac:dyDescent="0.2">
      <c r="A13" s="53">
        <f t="shared" si="1"/>
        <v>43713</v>
      </c>
      <c r="B13" s="28">
        <v>0</v>
      </c>
      <c r="C13" s="28">
        <v>0</v>
      </c>
      <c r="D13" s="47">
        <f t="shared" si="0"/>
        <v>0</v>
      </c>
      <c r="E13" s="31">
        <f>September[[#This Row],[Ende]]-September[[#This Row],[Beginn]]-September[[#This Row],[Pause]]</f>
        <v>0</v>
      </c>
      <c r="F13" s="33">
        <f>$F$6+SUM($E$8:September[[#This Row],[Arbeitszeit]])</f>
        <v>-13.333333333333332</v>
      </c>
      <c r="G13" s="34"/>
      <c r="H13" s="35" t="e">
        <f>IF(ISNUMBER(MATCH(September[[#This Row],[Bemerkung]],Setup!$X$73:$X$86,0)),0,VLOOKUP(WEEKDAY(A13,2),Wochenzeiten[],3,0))</f>
        <v>#REF!</v>
      </c>
      <c r="I13" s="35" t="e">
        <f>IF(ISNUMBER(LOOKUP(September[[#This Row],[Bemerkung]],Setup!$X$71:$X77)),0,September[[#This Row],[Ende]]-September[[#This Row],[Beginn]]-September[[#This Row],[Pause]]-September[[#This Row],[Berechnungshilfe1]])</f>
        <v>#REF!</v>
      </c>
    </row>
    <row r="14" spans="1:15" ht="12.95" customHeight="1" x14ac:dyDescent="0.2">
      <c r="A14" s="53">
        <f t="shared" si="1"/>
        <v>43714</v>
      </c>
      <c r="B14" s="28">
        <v>0</v>
      </c>
      <c r="C14" s="28">
        <v>0</v>
      </c>
      <c r="D14" s="47">
        <f t="shared" si="0"/>
        <v>0</v>
      </c>
      <c r="E14" s="31">
        <f>September[[#This Row],[Ende]]-September[[#This Row],[Beginn]]-September[[#This Row],[Pause]]</f>
        <v>0</v>
      </c>
      <c r="F14" s="33">
        <f>$F$6+SUM($E$8:September[[#This Row],[Arbeitszeit]])</f>
        <v>-13.333333333333332</v>
      </c>
      <c r="G14" s="32"/>
      <c r="H14" s="35" t="e">
        <f>IF(ISNUMBER(MATCH(September[[#This Row],[Bemerkung]],Setup!$X$73:$X$86,0)),0,VLOOKUP(WEEKDAY(A14,2),Wochenzeiten[],3,0))</f>
        <v>#REF!</v>
      </c>
      <c r="I14" s="35" t="e">
        <f>IF(ISNUMBER(LOOKUP(September[[#This Row],[Bemerkung]],Setup!$X$71:$X79)),0,September[[#This Row],[Ende]]-September[[#This Row],[Beginn]]-September[[#This Row],[Pause]]-September[[#This Row],[Berechnungshilfe1]])</f>
        <v>#REF!</v>
      </c>
    </row>
    <row r="15" spans="1:15" ht="12.95" customHeight="1" x14ac:dyDescent="0.2">
      <c r="A15" s="53">
        <f t="shared" si="1"/>
        <v>43715</v>
      </c>
      <c r="B15" s="28">
        <v>0</v>
      </c>
      <c r="C15" s="28">
        <v>0</v>
      </c>
      <c r="D15" s="47">
        <f t="shared" si="0"/>
        <v>0</v>
      </c>
      <c r="E15" s="31">
        <f>September[[#This Row],[Ende]]-September[[#This Row],[Beginn]]-September[[#This Row],[Pause]]</f>
        <v>0</v>
      </c>
      <c r="F15" s="33">
        <f>$F$6+SUM($E$8:September[[#This Row],[Arbeitszeit]])</f>
        <v>-13.333333333333332</v>
      </c>
      <c r="G15" s="32"/>
      <c r="H15" s="35" t="e">
        <f>IF(ISNUMBER(MATCH(September[[#This Row],[Bemerkung]],Setup!$X$73:$X$86,0)),0,VLOOKUP(WEEKDAY(A15,2),Wochenzeiten[],3,0))</f>
        <v>#REF!</v>
      </c>
      <c r="I15" s="35" t="e">
        <f>IF(ISNUMBER(LOOKUP(September[[#This Row],[Bemerkung]],Setup!$X$71:$X80)),0,September[[#This Row],[Ende]]-September[[#This Row],[Beginn]]-September[[#This Row],[Pause]]-September[[#This Row],[Berechnungshilfe1]])</f>
        <v>#REF!</v>
      </c>
    </row>
    <row r="16" spans="1:15" ht="12.95" customHeight="1" x14ac:dyDescent="0.2">
      <c r="A16" s="53">
        <f t="shared" si="1"/>
        <v>43716</v>
      </c>
      <c r="B16" s="28">
        <v>0</v>
      </c>
      <c r="C16" s="28">
        <v>0</v>
      </c>
      <c r="D16" s="47">
        <f t="shared" si="0"/>
        <v>0</v>
      </c>
      <c r="E16" s="31">
        <f>September[[#This Row],[Ende]]-September[[#This Row],[Beginn]]-September[[#This Row],[Pause]]</f>
        <v>0</v>
      </c>
      <c r="F16" s="33">
        <f>$F$6+SUM($E$8:September[[#This Row],[Arbeitszeit]])</f>
        <v>-13.333333333333332</v>
      </c>
      <c r="G16" s="32"/>
      <c r="H16" s="35" t="e">
        <f>IF(ISNUMBER(MATCH(September[[#This Row],[Bemerkung]],Setup!$X$73:$X$86,0)),0,VLOOKUP(WEEKDAY(A16,2),Wochenzeiten[],3,0))</f>
        <v>#REF!</v>
      </c>
      <c r="I16" s="35" t="e">
        <f>IF(ISNUMBER(LOOKUP(September[[#This Row],[Bemerkung]],Setup!$X$71:$X81)),0,September[[#This Row],[Ende]]-September[[#This Row],[Beginn]]-September[[#This Row],[Pause]]-September[[#This Row],[Berechnungshilfe1]])</f>
        <v>#REF!</v>
      </c>
    </row>
    <row r="17" spans="1:9" ht="12.95" customHeight="1" x14ac:dyDescent="0.2">
      <c r="A17" s="53">
        <f t="shared" si="1"/>
        <v>43717</v>
      </c>
      <c r="B17" s="28">
        <v>0</v>
      </c>
      <c r="C17" s="28">
        <v>0</v>
      </c>
      <c r="D17" s="47">
        <f t="shared" si="0"/>
        <v>0</v>
      </c>
      <c r="E17" s="31">
        <f>September[[#This Row],[Ende]]-September[[#This Row],[Beginn]]-September[[#This Row],[Pause]]</f>
        <v>0</v>
      </c>
      <c r="F17" s="33">
        <f>$F$6+SUM($E$8:September[[#This Row],[Arbeitszeit]])</f>
        <v>-13.333333333333332</v>
      </c>
      <c r="G17" s="32"/>
      <c r="H17" s="35" t="e">
        <f>IF(ISNUMBER(MATCH(September[[#This Row],[Bemerkung]],Setup!$X$73:$X$86,0)),0,VLOOKUP(WEEKDAY(A17,2),Wochenzeiten[],3,0))</f>
        <v>#REF!</v>
      </c>
      <c r="I17" s="35" t="e">
        <f>IF(ISNUMBER(LOOKUP(September[[#This Row],[Bemerkung]],Setup!$X$71:$X82)),0,September[[#This Row],[Ende]]-September[[#This Row],[Beginn]]-September[[#This Row],[Pause]]-September[[#This Row],[Berechnungshilfe1]])</f>
        <v>#REF!</v>
      </c>
    </row>
    <row r="18" spans="1:9" ht="12.95" customHeight="1" x14ac:dyDescent="0.2">
      <c r="A18" s="53">
        <f t="shared" si="1"/>
        <v>43718</v>
      </c>
      <c r="B18" s="28">
        <v>0</v>
      </c>
      <c r="C18" s="28">
        <v>0</v>
      </c>
      <c r="D18" s="47">
        <f t="shared" si="0"/>
        <v>0</v>
      </c>
      <c r="E18" s="31">
        <f>September[[#This Row],[Ende]]-September[[#This Row],[Beginn]]-September[[#This Row],[Pause]]</f>
        <v>0</v>
      </c>
      <c r="F18" s="33">
        <f>$F$6+SUM($E$8:September[[#This Row],[Arbeitszeit]])</f>
        <v>-13.333333333333332</v>
      </c>
      <c r="G18" s="32"/>
      <c r="H18" s="35" t="e">
        <f>IF(ISNUMBER(MATCH(September[[#This Row],[Bemerkung]],Setup!$X$73:$X$86,0)),0,VLOOKUP(WEEKDAY(A18,2),Wochenzeiten[],3,0))</f>
        <v>#REF!</v>
      </c>
      <c r="I18" s="35" t="e">
        <f>IF(ISNUMBER(LOOKUP(September[[#This Row],[Bemerkung]],Setup!$X$71:$X83)),0,September[[#This Row],[Ende]]-September[[#This Row],[Beginn]]-September[[#This Row],[Pause]]-September[[#This Row],[Berechnungshilfe1]])</f>
        <v>#REF!</v>
      </c>
    </row>
    <row r="19" spans="1:9" ht="12.95" customHeight="1" x14ac:dyDescent="0.2">
      <c r="A19" s="53">
        <f t="shared" si="1"/>
        <v>43719</v>
      </c>
      <c r="B19" s="28">
        <v>0</v>
      </c>
      <c r="C19" s="28">
        <v>0</v>
      </c>
      <c r="D19" s="47">
        <f t="shared" si="0"/>
        <v>0</v>
      </c>
      <c r="E19" s="31">
        <f>September[[#This Row],[Ende]]-September[[#This Row],[Beginn]]-September[[#This Row],[Pause]]</f>
        <v>0</v>
      </c>
      <c r="F19" s="33">
        <f>$F$6+SUM($E$8:September[[#This Row],[Arbeitszeit]])</f>
        <v>-13.333333333333332</v>
      </c>
      <c r="G19" s="32"/>
      <c r="H19" s="35" t="e">
        <f>IF(ISNUMBER(MATCH(September[[#This Row],[Bemerkung]],Setup!$X$73:$X$86,0)),0,VLOOKUP(WEEKDAY(A19,2),Wochenzeiten[],3,0))</f>
        <v>#REF!</v>
      </c>
      <c r="I19" s="35" t="e">
        <f>IF(ISNUMBER(LOOKUP(September[[#This Row],[Bemerkung]],Setup!$X$71:$X84)),0,September[[#This Row],[Ende]]-September[[#This Row],[Beginn]]-September[[#This Row],[Pause]]-September[[#This Row],[Berechnungshilfe1]])</f>
        <v>#REF!</v>
      </c>
    </row>
    <row r="20" spans="1:9" ht="12.95" customHeight="1" x14ac:dyDescent="0.2">
      <c r="A20" s="53">
        <f t="shared" si="1"/>
        <v>43720</v>
      </c>
      <c r="B20" s="28">
        <v>0</v>
      </c>
      <c r="C20" s="28">
        <v>0</v>
      </c>
      <c r="D20" s="47">
        <f t="shared" si="0"/>
        <v>0</v>
      </c>
      <c r="E20" s="31">
        <f>September[[#This Row],[Ende]]-September[[#This Row],[Beginn]]-September[[#This Row],[Pause]]</f>
        <v>0</v>
      </c>
      <c r="F20" s="33">
        <f>$F$6+SUM($E$8:September[[#This Row],[Arbeitszeit]])</f>
        <v>-13.333333333333332</v>
      </c>
      <c r="G20" s="32"/>
      <c r="H20" s="35" t="e">
        <f>IF(ISNUMBER(MATCH(September[[#This Row],[Bemerkung]],Setup!$X$73:$X$86,0)),0,VLOOKUP(WEEKDAY(A20,2),Wochenzeiten[],3,0))</f>
        <v>#REF!</v>
      </c>
      <c r="I20" s="35" t="e">
        <f>IF(ISNUMBER(LOOKUP(September[[#This Row],[Bemerkung]],Setup!$X$71:$X85)),0,September[[#This Row],[Ende]]-September[[#This Row],[Beginn]]-September[[#This Row],[Pause]]-September[[#This Row],[Berechnungshilfe1]])</f>
        <v>#REF!</v>
      </c>
    </row>
    <row r="21" spans="1:9" ht="12.95" customHeight="1" x14ac:dyDescent="0.2">
      <c r="A21" s="53">
        <f t="shared" si="1"/>
        <v>43721</v>
      </c>
      <c r="B21" s="28">
        <v>0</v>
      </c>
      <c r="C21" s="28">
        <v>0</v>
      </c>
      <c r="D21" s="47">
        <f t="shared" si="0"/>
        <v>0</v>
      </c>
      <c r="E21" s="31">
        <f>September[[#This Row],[Ende]]-September[[#This Row],[Beginn]]-September[[#This Row],[Pause]]</f>
        <v>0</v>
      </c>
      <c r="F21" s="33">
        <f>$F$6+SUM($E$8:September[[#This Row],[Arbeitszeit]])</f>
        <v>-13.333333333333332</v>
      </c>
      <c r="G21" s="32"/>
      <c r="H21" s="35" t="e">
        <f>IF(ISNUMBER(MATCH(September[[#This Row],[Bemerkung]],Setup!$X$73:$X$86,0)),0,VLOOKUP(WEEKDAY(A21,2),Wochenzeiten[],3,0))</f>
        <v>#REF!</v>
      </c>
      <c r="I21" s="35" t="e">
        <f>IF(ISNUMBER(LOOKUP(September[[#This Row],[Bemerkung]],Setup!$X$71:$X86)),0,September[[#This Row],[Ende]]-September[[#This Row],[Beginn]]-September[[#This Row],[Pause]]-September[[#This Row],[Berechnungshilfe1]])</f>
        <v>#REF!</v>
      </c>
    </row>
    <row r="22" spans="1:9" ht="12.95" customHeight="1" x14ac:dyDescent="0.2">
      <c r="A22" s="53">
        <f t="shared" si="1"/>
        <v>43722</v>
      </c>
      <c r="B22" s="28">
        <v>0</v>
      </c>
      <c r="C22" s="28">
        <v>0</v>
      </c>
      <c r="D22" s="47">
        <f t="shared" si="0"/>
        <v>0</v>
      </c>
      <c r="E22" s="31">
        <f>September[[#This Row],[Ende]]-September[[#This Row],[Beginn]]-September[[#This Row],[Pause]]</f>
        <v>0</v>
      </c>
      <c r="F22" s="33">
        <f>$F$6+SUM($E$8:September[[#This Row],[Arbeitszeit]])</f>
        <v>-13.333333333333332</v>
      </c>
      <c r="G22" s="32"/>
      <c r="H22" s="35" t="e">
        <f>IF(ISNUMBER(MATCH(September[[#This Row],[Bemerkung]],Setup!$X$73:$X$86,0)),0,VLOOKUP(WEEKDAY(A22,2),Wochenzeiten[],3,0))</f>
        <v>#REF!</v>
      </c>
      <c r="I22" s="35" t="e">
        <f>IF(ISNUMBER(LOOKUP(September[[#This Row],[Bemerkung]],Setup!$X$71:$X87)),0,September[[#This Row],[Ende]]-September[[#This Row],[Beginn]]-September[[#This Row],[Pause]]-September[[#This Row],[Berechnungshilfe1]])</f>
        <v>#REF!</v>
      </c>
    </row>
    <row r="23" spans="1:9" ht="12.95" customHeight="1" x14ac:dyDescent="0.2">
      <c r="A23" s="53">
        <f t="shared" si="1"/>
        <v>43723</v>
      </c>
      <c r="B23" s="28">
        <v>0</v>
      </c>
      <c r="C23" s="28">
        <v>0</v>
      </c>
      <c r="D23" s="47">
        <f t="shared" si="0"/>
        <v>0</v>
      </c>
      <c r="E23" s="31">
        <f>September[[#This Row],[Ende]]-September[[#This Row],[Beginn]]-September[[#This Row],[Pause]]</f>
        <v>0</v>
      </c>
      <c r="F23" s="33">
        <f>$F$6+SUM($E$8:September[[#This Row],[Arbeitszeit]])</f>
        <v>-13.333333333333332</v>
      </c>
      <c r="G23" s="32"/>
      <c r="H23" s="35" t="e">
        <f>IF(ISNUMBER(MATCH(September[[#This Row],[Bemerkung]],Setup!$X$73:$X$86,0)),0,VLOOKUP(WEEKDAY(A23,2),Wochenzeiten[],3,0))</f>
        <v>#REF!</v>
      </c>
      <c r="I23" s="35" t="e">
        <f>IF(ISNUMBER(LOOKUP(September[[#This Row],[Bemerkung]],Setup!$X$71:$X87)),0,September[[#This Row],[Ende]]-September[[#This Row],[Beginn]]-September[[#This Row],[Pause]]-September[[#This Row],[Berechnungshilfe1]])</f>
        <v>#REF!</v>
      </c>
    </row>
    <row r="24" spans="1:9" ht="12.95" customHeight="1" x14ac:dyDescent="0.2">
      <c r="A24" s="53">
        <f t="shared" si="1"/>
        <v>43724</v>
      </c>
      <c r="B24" s="28">
        <v>0</v>
      </c>
      <c r="C24" s="28">
        <v>0</v>
      </c>
      <c r="D24" s="47">
        <f t="shared" si="0"/>
        <v>0</v>
      </c>
      <c r="E24" s="31">
        <f>September[[#This Row],[Ende]]-September[[#This Row],[Beginn]]-September[[#This Row],[Pause]]</f>
        <v>0</v>
      </c>
      <c r="F24" s="33">
        <f>$F$6+SUM($E$8:September[[#This Row],[Arbeitszeit]])</f>
        <v>-13.333333333333332</v>
      </c>
      <c r="G24" s="32"/>
      <c r="H24" s="35" t="e">
        <f>IF(ISNUMBER(MATCH(September[[#This Row],[Bemerkung]],Setup!$X$73:$X$86,0)),0,VLOOKUP(WEEKDAY(A24,2),Wochenzeiten[],3,0))</f>
        <v>#REF!</v>
      </c>
      <c r="I24" s="35" t="e">
        <f>IF(ISNUMBER(LOOKUP(September[[#This Row],[Bemerkung]],Setup!$X$71:$X88)),0,September[[#This Row],[Ende]]-September[[#This Row],[Beginn]]-September[[#This Row],[Pause]]-September[[#This Row],[Berechnungshilfe1]])</f>
        <v>#REF!</v>
      </c>
    </row>
    <row r="25" spans="1:9" ht="12.95" customHeight="1" x14ac:dyDescent="0.2">
      <c r="A25" s="53">
        <f t="shared" si="1"/>
        <v>43725</v>
      </c>
      <c r="B25" s="28">
        <v>0</v>
      </c>
      <c r="C25" s="28">
        <v>0</v>
      </c>
      <c r="D25" s="47">
        <f t="shared" si="0"/>
        <v>0</v>
      </c>
      <c r="E25" s="31">
        <f>September[[#This Row],[Ende]]-September[[#This Row],[Beginn]]-September[[#This Row],[Pause]]</f>
        <v>0</v>
      </c>
      <c r="F25" s="33">
        <f>$F$6+SUM($E$8:September[[#This Row],[Arbeitszeit]])</f>
        <v>-13.333333333333332</v>
      </c>
      <c r="G25" s="32"/>
      <c r="H25" s="35" t="e">
        <f>IF(ISNUMBER(MATCH(September[[#This Row],[Bemerkung]],Setup!$X$73:$X$86,0)),0,VLOOKUP(WEEKDAY(A25,2),Wochenzeiten[],3,0))</f>
        <v>#REF!</v>
      </c>
      <c r="I25" s="35" t="e">
        <f>IF(ISNUMBER(LOOKUP(September[[#This Row],[Bemerkung]],Setup!$X$71:$X89)),0,September[[#This Row],[Ende]]-September[[#This Row],[Beginn]]-September[[#This Row],[Pause]]-September[[#This Row],[Berechnungshilfe1]])</f>
        <v>#REF!</v>
      </c>
    </row>
    <row r="26" spans="1:9" ht="12.95" customHeight="1" x14ac:dyDescent="0.2">
      <c r="A26" s="53">
        <f t="shared" si="1"/>
        <v>43726</v>
      </c>
      <c r="B26" s="28">
        <v>0</v>
      </c>
      <c r="C26" s="28">
        <v>0</v>
      </c>
      <c r="D26" s="47">
        <f t="shared" si="0"/>
        <v>0</v>
      </c>
      <c r="E26" s="31">
        <f>September[[#This Row],[Ende]]-September[[#This Row],[Beginn]]-September[[#This Row],[Pause]]</f>
        <v>0</v>
      </c>
      <c r="F26" s="33">
        <f>$F$6+SUM($E$8:September[[#This Row],[Arbeitszeit]])</f>
        <v>-13.333333333333332</v>
      </c>
      <c r="G26" s="32"/>
      <c r="H26" s="35" t="e">
        <f>IF(ISNUMBER(MATCH(September[[#This Row],[Bemerkung]],Setup!$X$73:$X$86,0)),0,VLOOKUP(WEEKDAY(A26,2),Wochenzeiten[],3,0))</f>
        <v>#REF!</v>
      </c>
      <c r="I26" s="35" t="e">
        <f>IF(ISNUMBER(LOOKUP(September[[#This Row],[Bemerkung]],Setup!$X$71:$X90)),0,September[[#This Row],[Ende]]-September[[#This Row],[Beginn]]-September[[#This Row],[Pause]]-September[[#This Row],[Berechnungshilfe1]])</f>
        <v>#REF!</v>
      </c>
    </row>
    <row r="27" spans="1:9" ht="12.95" customHeight="1" x14ac:dyDescent="0.2">
      <c r="A27" s="53">
        <f t="shared" si="1"/>
        <v>43727</v>
      </c>
      <c r="B27" s="28">
        <v>0</v>
      </c>
      <c r="C27" s="28">
        <v>0</v>
      </c>
      <c r="D27" s="47">
        <f t="shared" si="0"/>
        <v>0</v>
      </c>
      <c r="E27" s="31">
        <f>September[[#This Row],[Ende]]-September[[#This Row],[Beginn]]-September[[#This Row],[Pause]]</f>
        <v>0</v>
      </c>
      <c r="F27" s="33">
        <f>$F$6+SUM($E$8:September[[#This Row],[Arbeitszeit]])</f>
        <v>-13.333333333333332</v>
      </c>
      <c r="G27" s="32"/>
      <c r="H27" s="35" t="e">
        <f>IF(ISNUMBER(MATCH(September[[#This Row],[Bemerkung]],Setup!$X$73:$X$86,0)),0,VLOOKUP(WEEKDAY(A27,2),Wochenzeiten[],3,0))</f>
        <v>#REF!</v>
      </c>
      <c r="I27" s="35" t="e">
        <f>IF(ISNUMBER(LOOKUP(September[[#This Row],[Bemerkung]],Setup!$X$71:$X91)),0,September[[#This Row],[Ende]]-September[[#This Row],[Beginn]]-September[[#This Row],[Pause]]-September[[#This Row],[Berechnungshilfe1]])</f>
        <v>#REF!</v>
      </c>
    </row>
    <row r="28" spans="1:9" ht="12.95" customHeight="1" x14ac:dyDescent="0.2">
      <c r="A28" s="53">
        <f t="shared" si="1"/>
        <v>43728</v>
      </c>
      <c r="B28" s="28">
        <v>0</v>
      </c>
      <c r="C28" s="28">
        <v>0</v>
      </c>
      <c r="D28" s="47">
        <f t="shared" si="0"/>
        <v>0</v>
      </c>
      <c r="E28" s="31">
        <f>September[[#This Row],[Ende]]-September[[#This Row],[Beginn]]-September[[#This Row],[Pause]]</f>
        <v>0</v>
      </c>
      <c r="F28" s="33">
        <f>$F$6+SUM($E$8:September[[#This Row],[Arbeitszeit]])</f>
        <v>-13.333333333333332</v>
      </c>
      <c r="G28" s="32"/>
      <c r="H28" s="35" t="e">
        <f>IF(ISNUMBER(MATCH(September[[#This Row],[Bemerkung]],Setup!$X$73:$X$86,0)),0,VLOOKUP(WEEKDAY(A28,2),Wochenzeiten[],3,0))</f>
        <v>#REF!</v>
      </c>
      <c r="I28" s="35" t="e">
        <f>IF(ISNUMBER(LOOKUP(September[[#This Row],[Bemerkung]],Setup!$X$71:$X92)),0,September[[#This Row],[Ende]]-September[[#This Row],[Beginn]]-September[[#This Row],[Pause]]-September[[#This Row],[Berechnungshilfe1]])</f>
        <v>#REF!</v>
      </c>
    </row>
    <row r="29" spans="1:9" ht="12.95" customHeight="1" x14ac:dyDescent="0.2">
      <c r="A29" s="53">
        <f t="shared" si="1"/>
        <v>43729</v>
      </c>
      <c r="B29" s="28">
        <v>0</v>
      </c>
      <c r="C29" s="28">
        <v>0</v>
      </c>
      <c r="D29" s="47">
        <f t="shared" si="0"/>
        <v>0</v>
      </c>
      <c r="E29" s="31">
        <f>September[[#This Row],[Ende]]-September[[#This Row],[Beginn]]-September[[#This Row],[Pause]]</f>
        <v>0</v>
      </c>
      <c r="F29" s="33">
        <f>$F$6+SUM($E$8:September[[#This Row],[Arbeitszeit]])</f>
        <v>-13.333333333333332</v>
      </c>
      <c r="G29" s="32"/>
      <c r="H29" s="35" t="e">
        <f>IF(ISNUMBER(MATCH(September[[#This Row],[Bemerkung]],Setup!$X$73:$X$86,0)),0,VLOOKUP(WEEKDAY(A29,2),Wochenzeiten[],3,0))</f>
        <v>#REF!</v>
      </c>
      <c r="I29" s="35" t="e">
        <f>IF(ISNUMBER(LOOKUP(September[[#This Row],[Bemerkung]],Setup!$X$71:$X93)),0,September[[#This Row],[Ende]]-September[[#This Row],[Beginn]]-September[[#This Row],[Pause]]-September[[#This Row],[Berechnungshilfe1]])</f>
        <v>#REF!</v>
      </c>
    </row>
    <row r="30" spans="1:9" ht="12.95" customHeight="1" x14ac:dyDescent="0.2">
      <c r="A30" s="53">
        <f t="shared" si="1"/>
        <v>43730</v>
      </c>
      <c r="B30" s="28">
        <v>0</v>
      </c>
      <c r="C30" s="28">
        <v>0</v>
      </c>
      <c r="D30" s="47">
        <f t="shared" si="0"/>
        <v>0</v>
      </c>
      <c r="E30" s="31">
        <f>September[[#This Row],[Ende]]-September[[#This Row],[Beginn]]-September[[#This Row],[Pause]]</f>
        <v>0</v>
      </c>
      <c r="F30" s="33">
        <f>$F$6+SUM($E$8:September[[#This Row],[Arbeitszeit]])</f>
        <v>-13.333333333333332</v>
      </c>
      <c r="G30" s="32"/>
      <c r="H30" s="35" t="e">
        <f>IF(ISNUMBER(MATCH(September[[#This Row],[Bemerkung]],Setup!$X$73:$X$86,0)),0,VLOOKUP(WEEKDAY(A30,2),Wochenzeiten[],3,0))</f>
        <v>#REF!</v>
      </c>
      <c r="I30" s="35" t="e">
        <f>IF(ISNUMBER(LOOKUP(September[[#This Row],[Bemerkung]],Setup!$X$71:$X94)),0,September[[#This Row],[Ende]]-September[[#This Row],[Beginn]]-September[[#This Row],[Pause]]-September[[#This Row],[Berechnungshilfe1]])</f>
        <v>#REF!</v>
      </c>
    </row>
    <row r="31" spans="1:9" ht="12.95" customHeight="1" x14ac:dyDescent="0.2">
      <c r="A31" s="53">
        <f t="shared" si="1"/>
        <v>43731</v>
      </c>
      <c r="B31" s="28">
        <v>0</v>
      </c>
      <c r="C31" s="28">
        <v>0</v>
      </c>
      <c r="D31" s="47">
        <f t="shared" si="0"/>
        <v>0</v>
      </c>
      <c r="E31" s="31">
        <f>September[[#This Row],[Ende]]-September[[#This Row],[Beginn]]-September[[#This Row],[Pause]]</f>
        <v>0</v>
      </c>
      <c r="F31" s="33">
        <f>$F$6+SUM($E$8:September[[#This Row],[Arbeitszeit]])</f>
        <v>-13.333333333333332</v>
      </c>
      <c r="G31" s="32"/>
      <c r="H31" s="35" t="e">
        <f>IF(ISNUMBER(MATCH(September[[#This Row],[Bemerkung]],Setup!$X$73:$X$86,0)),0,VLOOKUP(WEEKDAY(A31,2),Wochenzeiten[],3,0))</f>
        <v>#REF!</v>
      </c>
      <c r="I31" s="35" t="e">
        <f>IF(ISNUMBER(LOOKUP(September[[#This Row],[Bemerkung]],Setup!$X$71:$X95)),0,September[[#This Row],[Ende]]-September[[#This Row],[Beginn]]-September[[#This Row],[Pause]]-September[[#This Row],[Berechnungshilfe1]])</f>
        <v>#REF!</v>
      </c>
    </row>
    <row r="32" spans="1:9" ht="12.95" customHeight="1" x14ac:dyDescent="0.2">
      <c r="A32" s="53">
        <f t="shared" si="1"/>
        <v>43732</v>
      </c>
      <c r="B32" s="28">
        <v>0</v>
      </c>
      <c r="C32" s="28">
        <v>0</v>
      </c>
      <c r="D32" s="47">
        <f t="shared" si="0"/>
        <v>0</v>
      </c>
      <c r="E32" s="31">
        <f>September[[#This Row],[Ende]]-September[[#This Row],[Beginn]]-September[[#This Row],[Pause]]</f>
        <v>0</v>
      </c>
      <c r="F32" s="33">
        <f>$F$6+SUM($E$8:September[[#This Row],[Arbeitszeit]])</f>
        <v>-13.333333333333332</v>
      </c>
      <c r="G32" s="32"/>
      <c r="H32" s="35" t="e">
        <f>IF(ISNUMBER(MATCH(September[[#This Row],[Bemerkung]],Setup!$X$73:$X$86,0)),0,VLOOKUP(WEEKDAY(A32,2),Wochenzeiten[],3,0))</f>
        <v>#REF!</v>
      </c>
      <c r="I32" s="35" t="e">
        <f>IF(ISNUMBER(LOOKUP(September[[#This Row],[Bemerkung]],Setup!$X$71:$X96)),0,September[[#This Row],[Ende]]-September[[#This Row],[Beginn]]-September[[#This Row],[Pause]]-September[[#This Row],[Berechnungshilfe1]])</f>
        <v>#REF!</v>
      </c>
    </row>
    <row r="33" spans="1:9" ht="12.95" customHeight="1" x14ac:dyDescent="0.2">
      <c r="A33" s="53">
        <f t="shared" si="1"/>
        <v>43733</v>
      </c>
      <c r="B33" s="28">
        <v>0</v>
      </c>
      <c r="C33" s="28">
        <v>0</v>
      </c>
      <c r="D33" s="47">
        <f t="shared" si="0"/>
        <v>0</v>
      </c>
      <c r="E33" s="31">
        <f>September[[#This Row],[Ende]]-September[[#This Row],[Beginn]]-September[[#This Row],[Pause]]</f>
        <v>0</v>
      </c>
      <c r="F33" s="33">
        <f>$F$6+SUM($E$8:September[[#This Row],[Arbeitszeit]])</f>
        <v>-13.333333333333332</v>
      </c>
      <c r="G33" s="32"/>
      <c r="H33" s="35" t="e">
        <f>IF(ISNUMBER(MATCH(September[[#This Row],[Bemerkung]],Setup!$X$73:$X$86,0)),0,VLOOKUP(WEEKDAY(A33,2),Wochenzeiten[],3,0))</f>
        <v>#REF!</v>
      </c>
      <c r="I33" s="35" t="e">
        <f>IF(ISNUMBER(LOOKUP(September[[#This Row],[Bemerkung]],Setup!$X$71:$X97)),0,September[[#This Row],[Ende]]-September[[#This Row],[Beginn]]-September[[#This Row],[Pause]]-September[[#This Row],[Berechnungshilfe1]])</f>
        <v>#REF!</v>
      </c>
    </row>
    <row r="34" spans="1:9" ht="12.95" customHeight="1" x14ac:dyDescent="0.2">
      <c r="A34" s="53">
        <f t="shared" si="1"/>
        <v>43734</v>
      </c>
      <c r="B34" s="28">
        <v>0</v>
      </c>
      <c r="C34" s="28">
        <v>0</v>
      </c>
      <c r="D34" s="47">
        <f t="shared" si="0"/>
        <v>0</v>
      </c>
      <c r="E34" s="31">
        <f>September[[#This Row],[Ende]]-September[[#This Row],[Beginn]]-September[[#This Row],[Pause]]</f>
        <v>0</v>
      </c>
      <c r="F34" s="33">
        <f>$F$6+SUM($E$8:September[[#This Row],[Arbeitszeit]])</f>
        <v>-13.333333333333332</v>
      </c>
      <c r="G34" s="32"/>
      <c r="H34" s="35" t="e">
        <f>IF(ISNUMBER(MATCH(September[[#This Row],[Bemerkung]],Setup!$X$73:$X$86,0)),0,VLOOKUP(WEEKDAY(A34,2),Wochenzeiten[],3,0))</f>
        <v>#REF!</v>
      </c>
      <c r="I34" s="35" t="e">
        <f>IF(ISNUMBER(LOOKUP(September[[#This Row],[Bemerkung]],Setup!$X$71:$X98)),0,September[[#This Row],[Ende]]-September[[#This Row],[Beginn]]-September[[#This Row],[Pause]]-September[[#This Row],[Berechnungshilfe1]])</f>
        <v>#REF!</v>
      </c>
    </row>
    <row r="35" spans="1:9" ht="12.75" customHeight="1" x14ac:dyDescent="0.2">
      <c r="A35" s="53">
        <f t="shared" si="1"/>
        <v>43735</v>
      </c>
      <c r="B35" s="28">
        <v>0</v>
      </c>
      <c r="C35" s="28">
        <v>0</v>
      </c>
      <c r="D35" s="47">
        <f t="shared" si="0"/>
        <v>0</v>
      </c>
      <c r="E35" s="31">
        <f>September[[#This Row],[Ende]]-September[[#This Row],[Beginn]]-September[[#This Row],[Pause]]</f>
        <v>0</v>
      </c>
      <c r="F35" s="33">
        <f>$F$6+SUM($E$8:September[[#This Row],[Arbeitszeit]])</f>
        <v>-13.333333333333332</v>
      </c>
      <c r="G35" s="32"/>
      <c r="H35" s="35" t="e">
        <f>IF(ISNUMBER(MATCH(September[[#This Row],[Bemerkung]],Setup!$X$73:$X$86,0)),0,VLOOKUP(WEEKDAY(A35,2),Wochenzeiten[],3,0))</f>
        <v>#REF!</v>
      </c>
      <c r="I35" s="35" t="e">
        <f>IF(ISNUMBER(LOOKUP(September[[#This Row],[Bemerkung]],Setup!$X$71:$X99)),0,September[[#This Row],[Ende]]-September[[#This Row],[Beginn]]-September[[#This Row],[Pause]]-September[[#This Row],[Berechnungshilfe1]])</f>
        <v>#REF!</v>
      </c>
    </row>
    <row r="36" spans="1:9" ht="12.75" customHeight="1" x14ac:dyDescent="0.2">
      <c r="A36" s="53">
        <f t="shared" si="1"/>
        <v>43736</v>
      </c>
      <c r="B36" s="28">
        <v>0</v>
      </c>
      <c r="C36" s="28">
        <v>0</v>
      </c>
      <c r="D36" s="47">
        <f t="shared" si="0"/>
        <v>0</v>
      </c>
      <c r="E36" s="31">
        <f>September[[#This Row],[Ende]]-September[[#This Row],[Beginn]]-September[[#This Row],[Pause]]</f>
        <v>0</v>
      </c>
      <c r="F36" s="33">
        <f>$F$6+SUM($E$8:September[[#This Row],[Arbeitszeit]])</f>
        <v>-13.333333333333332</v>
      </c>
      <c r="G36" s="32"/>
      <c r="H36" s="35" t="e">
        <f>IF(ISNUMBER(MATCH(September[[#This Row],[Bemerkung]],Setup!$X$73:$X$86,0)),0,VLOOKUP(WEEKDAY(A36,2),Wochenzeiten[],3,0))</f>
        <v>#REF!</v>
      </c>
      <c r="I36" s="35" t="e">
        <f>IF(ISNUMBER(LOOKUP(September[[#This Row],[Bemerkung]],Setup!$X$71:$X100)),0,September[[#This Row],[Ende]]-September[[#This Row],[Beginn]]-September[[#This Row],[Pause]]-September[[#This Row],[Berechnungshilfe1]])</f>
        <v>#REF!</v>
      </c>
    </row>
    <row r="37" spans="1:9" ht="12.75" customHeight="1" x14ac:dyDescent="0.2">
      <c r="A37" s="53">
        <f t="shared" si="1"/>
        <v>43737</v>
      </c>
      <c r="B37" s="28">
        <v>0</v>
      </c>
      <c r="C37" s="28">
        <v>0</v>
      </c>
      <c r="D37" s="47">
        <f t="shared" si="0"/>
        <v>0</v>
      </c>
      <c r="E37" s="31">
        <f>September[[#This Row],[Ende]]-September[[#This Row],[Beginn]]-September[[#This Row],[Pause]]</f>
        <v>0</v>
      </c>
      <c r="F37" s="33">
        <f>$F$6+SUM($E$8:September[[#This Row],[Arbeitszeit]])</f>
        <v>-13.333333333333332</v>
      </c>
      <c r="G37" s="32"/>
      <c r="H37" s="35" t="e">
        <f>IF(ISNUMBER(MATCH(September[[#This Row],[Bemerkung]],Setup!$X$73:$X$86,0)),0,VLOOKUP(WEEKDAY(A37,2),Wochenzeiten[],3,0))</f>
        <v>#REF!</v>
      </c>
      <c r="I37" s="35" t="e">
        <f>IF(ISNUMBER(LOOKUP(September[[#This Row],[Bemerkung]],Setup!$X$71:$X101)),0,September[[#This Row],[Ende]]-September[[#This Row],[Beginn]]-September[[#This Row],[Pause]]-September[[#This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SUM(September[Arbeitszeit])+$F$6-E46</f>
        <v>-14.999999999999998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7" priority="3">
      <formula>WEEKDAY($A8,2)&gt;5</formula>
    </cfRule>
    <cfRule type="cellIs" dxfId="6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DATE(Setup!C13,10,1)</f>
        <v>43738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September!F38</f>
        <v>-14.999999999999998</v>
      </c>
      <c r="G6" s="21"/>
      <c r="H6"/>
      <c r="I6"/>
    </row>
    <row r="7" spans="1:15" ht="12.95" hidden="1" customHeight="1" x14ac:dyDescent="0.2">
      <c r="A7" s="53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43738</v>
      </c>
      <c r="B8" s="30">
        <v>0</v>
      </c>
      <c r="C8" s="30">
        <v>0</v>
      </c>
      <c r="D8" s="47">
        <f t="shared" ref="D8:D38" si="0">IF((C8-B8)&lt;TIME(6,1,0),TIME(0,0,0),IF((C8-B8)&lt;TIME(9,31,0),$E$45,$E$46))</f>
        <v>0</v>
      </c>
      <c r="E8" s="31">
        <f>Oktober[[#This Row],[Ende]]-Oktober[[#This Row],[Beginn]]-Oktober[[#This Row],[Pause]]</f>
        <v>0</v>
      </c>
      <c r="F8" s="33">
        <f>$F$6+SUM($E$8:Oktober[[#This Row],[Arbeitszeit]])</f>
        <v>-14.999999999999998</v>
      </c>
      <c r="G8" s="32"/>
      <c r="H8" s="35" t="e">
        <f>IF(ISNUMBER(MATCH(Oktober[[#This Row],[Bemerkung]],Setup!$X$73:$X$86,0)),0,VLOOKUP(WEEKDAY(A8,2),Wochenzeiten[],3,0))</f>
        <v>#REF!</v>
      </c>
      <c r="I8" s="35" t="e">
        <f>IF(ISNUMBER(LOOKUP(Oktober[[#This Row],[Bemerkung]],Setup!$X$71:$X72)),0,Oktober[[#This Row],[Ende]]-Oktober[[#This Row],[Beginn]]-Oktober[[#This Row],[Pause]]-Oktober[[#This Row],[Berechnungshilfe1]])</f>
        <v>#REF!</v>
      </c>
    </row>
    <row r="9" spans="1:15" ht="12.95" customHeight="1" x14ac:dyDescent="0.2">
      <c r="A9" s="53">
        <f t="shared" ref="A9:A38" si="1">A8+1</f>
        <v>43739</v>
      </c>
      <c r="B9" s="30">
        <v>0</v>
      </c>
      <c r="C9" s="30">
        <v>0</v>
      </c>
      <c r="D9" s="47">
        <f t="shared" si="0"/>
        <v>0</v>
      </c>
      <c r="E9" s="31">
        <f>Oktober[[#This Row],[Ende]]-Oktober[[#This Row],[Beginn]]-Oktober[[#This Row],[Pause]]</f>
        <v>0</v>
      </c>
      <c r="F9" s="33">
        <f>$F$6+SUM($E$8:Oktober[[#This Row],[Arbeitszeit]])</f>
        <v>-14.999999999999998</v>
      </c>
      <c r="G9" s="32"/>
      <c r="H9" s="35" t="e">
        <f>IF(ISNUMBER(MATCH(Oktober[[#This Row],[Bemerkung]],Setup!$X$73:$X$86,0)),0,VLOOKUP(WEEKDAY(A9,2),Wochenzeiten[],3,0))</f>
        <v>#REF!</v>
      </c>
      <c r="I9" s="35" t="e">
        <f>IF(ISNUMBER(LOOKUP(Oktober[[#This Row],[Bemerkung]],Setup!$X$71:$X73)),0,Oktober[[#This Row],[Ende]]-Oktober[[#This Row],[Beginn]]-Oktober[[#This Row],[Pause]]-Oktober[[#This Row],[Berechnungshilfe1]])</f>
        <v>#REF!</v>
      </c>
    </row>
    <row r="10" spans="1:15" ht="12.95" customHeight="1" x14ac:dyDescent="0.2">
      <c r="A10" s="53">
        <f t="shared" si="1"/>
        <v>43740</v>
      </c>
      <c r="B10" s="30">
        <v>0</v>
      </c>
      <c r="C10" s="30">
        <v>0</v>
      </c>
      <c r="D10" s="47">
        <f t="shared" si="0"/>
        <v>0</v>
      </c>
      <c r="E10" s="31">
        <f>Oktober[[#This Row],[Ende]]-Oktober[[#This Row],[Beginn]]-Oktober[[#This Row],[Pause]]</f>
        <v>0</v>
      </c>
      <c r="F10" s="33">
        <f>$F$6+SUM($E$8:Oktober[[#This Row],[Arbeitszeit]])</f>
        <v>-14.999999999999998</v>
      </c>
      <c r="G10" s="34" t="s">
        <v>27</v>
      </c>
      <c r="H10" s="35">
        <f>IF(ISNUMBER(MATCH(Oktober[[#This Row],[Bemerkung]],Setup!$X$73:$X$86,0)),0,VLOOKUP(WEEKDAY(A10,2),Wochenzeiten[],3,0))</f>
        <v>0</v>
      </c>
      <c r="I10" s="35">
        <f>IF(ISNUMBER(LOOKUP(Oktober[[#This Row],[Bemerkung]],Setup!$X$71:$X74)),0,Oktober[[#This Row],[Ende]]-Oktober[[#This Row],[Beginn]]-Oktober[[#This Row],[Pause]]-Oktober[[#This Row],[Berechnungshilfe1]])</f>
        <v>0</v>
      </c>
    </row>
    <row r="11" spans="1:15" ht="12.95" customHeight="1" x14ac:dyDescent="0.2">
      <c r="A11" s="53">
        <f t="shared" si="1"/>
        <v>43741</v>
      </c>
      <c r="B11" s="30">
        <v>0</v>
      </c>
      <c r="C11" s="30">
        <v>0</v>
      </c>
      <c r="D11" s="47">
        <f t="shared" si="0"/>
        <v>0</v>
      </c>
      <c r="E11" s="31">
        <f>Oktober[[#This Row],[Ende]]-Oktober[[#This Row],[Beginn]]-Oktober[[#This Row],[Pause]]</f>
        <v>0</v>
      </c>
      <c r="F11" s="33">
        <f>$F$6+SUM($E$8:Oktober[[#This Row],[Arbeitszeit]])</f>
        <v>-14.999999999999998</v>
      </c>
      <c r="G11" s="32"/>
      <c r="H11" s="35" t="e">
        <f>IF(ISNUMBER(MATCH(Oktober[[#This Row],[Bemerkung]],Setup!$X$73:$X$86,0)),0,VLOOKUP(WEEKDAY(A11,2),Wochenzeiten[],3,0))</f>
        <v>#REF!</v>
      </c>
      <c r="I11" s="35" t="e">
        <f>IF(ISNUMBER(LOOKUP(Oktober[[#This Row],[Bemerkung]],Setup!$X$71:$X75)),0,Oktober[[#This Row],[Ende]]-Oktober[[#This Row],[Beginn]]-Oktober[[#This Row],[Pause]]-Oktober[[#This Row],[Berechnungshilfe1]])</f>
        <v>#REF!</v>
      </c>
    </row>
    <row r="12" spans="1:15" ht="12.95" customHeight="1" x14ac:dyDescent="0.2">
      <c r="A12" s="53">
        <f t="shared" si="1"/>
        <v>43742</v>
      </c>
      <c r="B12" s="30">
        <v>0</v>
      </c>
      <c r="C12" s="30">
        <v>0</v>
      </c>
      <c r="D12" s="47">
        <f t="shared" si="0"/>
        <v>0</v>
      </c>
      <c r="E12" s="31">
        <f>Oktober[[#This Row],[Ende]]-Oktober[[#This Row],[Beginn]]-Oktober[[#This Row],[Pause]]</f>
        <v>0</v>
      </c>
      <c r="F12" s="33">
        <f>$F$6+SUM($E$8:Oktober[[#This Row],[Arbeitszeit]])</f>
        <v>-14.999999999999998</v>
      </c>
      <c r="G12" s="32"/>
      <c r="H12" s="35" t="e">
        <f>IF(ISNUMBER(MATCH(Oktober[[#This Row],[Bemerkung]],Setup!$X$73:$X$86,0)),0,VLOOKUP(WEEKDAY(A12,2),Wochenzeiten[],3,0))</f>
        <v>#REF!</v>
      </c>
      <c r="I12" s="35" t="e">
        <f>IF(ISNUMBER(LOOKUP(Oktober[[#This Row],[Bemerkung]],Setup!$X$71:$X76)),0,Oktober[[#This Row],[Ende]]-Oktober[[#This Row],[Beginn]]-Oktober[[#This Row],[Pause]]-Oktober[[#This Row],[Berechnungshilfe1]])</f>
        <v>#REF!</v>
      </c>
    </row>
    <row r="13" spans="1:15" ht="12.95" customHeight="1" x14ac:dyDescent="0.2">
      <c r="A13" s="53">
        <f t="shared" si="1"/>
        <v>43743</v>
      </c>
      <c r="B13" s="30">
        <v>0</v>
      </c>
      <c r="C13" s="30">
        <v>0</v>
      </c>
      <c r="D13" s="47">
        <f t="shared" si="0"/>
        <v>0</v>
      </c>
      <c r="E13" s="31">
        <f>Oktober[[#This Row],[Ende]]-Oktober[[#This Row],[Beginn]]-Oktober[[#This Row],[Pause]]</f>
        <v>0</v>
      </c>
      <c r="F13" s="33">
        <f>$F$6+SUM($E$8:Oktober[[#This Row],[Arbeitszeit]])</f>
        <v>-14.999999999999998</v>
      </c>
      <c r="G13" s="34"/>
      <c r="H13" s="35" t="e">
        <f>IF(ISNUMBER(MATCH(Oktober[[#This Row],[Bemerkung]],Setup!$X$73:$X$86,0)),0,VLOOKUP(WEEKDAY(A13,2),Wochenzeiten[],3,0))</f>
        <v>#REF!</v>
      </c>
      <c r="I13" s="35" t="e">
        <f>IF(ISNUMBER(LOOKUP(Oktober[[#This Row],[Bemerkung]],Setup!$X$71:$X77)),0,Oktober[[#This Row],[Ende]]-Oktober[[#This Row],[Beginn]]-Oktober[[#This Row],[Pause]]-Oktober[[#This Row],[Berechnungshilfe1]])</f>
        <v>#REF!</v>
      </c>
    </row>
    <row r="14" spans="1:15" ht="12.95" customHeight="1" x14ac:dyDescent="0.2">
      <c r="A14" s="53">
        <f t="shared" si="1"/>
        <v>43744</v>
      </c>
      <c r="B14" s="30">
        <v>0</v>
      </c>
      <c r="C14" s="30">
        <v>0</v>
      </c>
      <c r="D14" s="47">
        <f t="shared" si="0"/>
        <v>0</v>
      </c>
      <c r="E14" s="31">
        <f>Oktober[[#This Row],[Ende]]-Oktober[[#This Row],[Beginn]]-Oktober[[#This Row],[Pause]]</f>
        <v>0</v>
      </c>
      <c r="F14" s="33">
        <f>$F$6+SUM($E$8:Oktober[[#This Row],[Arbeitszeit]])</f>
        <v>-14.999999999999998</v>
      </c>
      <c r="G14" s="32"/>
      <c r="H14" s="35" t="e">
        <f>IF(ISNUMBER(MATCH(Oktober[[#This Row],[Bemerkung]],Setup!$X$73:$X$86,0)),0,VLOOKUP(WEEKDAY(A14,2),Wochenzeiten[],3,0))</f>
        <v>#REF!</v>
      </c>
      <c r="I14" s="35" t="e">
        <f>IF(ISNUMBER(LOOKUP(Oktober[[#This Row],[Bemerkung]],Setup!$X$71:$X79)),0,Oktober[[#This Row],[Ende]]-Oktober[[#This Row],[Beginn]]-Oktober[[#This Row],[Pause]]-Oktober[[#This Row],[Berechnungshilfe1]])</f>
        <v>#REF!</v>
      </c>
    </row>
    <row r="15" spans="1:15" ht="12.95" customHeight="1" x14ac:dyDescent="0.2">
      <c r="A15" s="53">
        <f t="shared" si="1"/>
        <v>43745</v>
      </c>
      <c r="B15" s="30">
        <v>0</v>
      </c>
      <c r="C15" s="30">
        <v>0</v>
      </c>
      <c r="D15" s="47">
        <f t="shared" si="0"/>
        <v>0</v>
      </c>
      <c r="E15" s="31">
        <f>Oktober[[#This Row],[Ende]]-Oktober[[#This Row],[Beginn]]-Oktober[[#This Row],[Pause]]</f>
        <v>0</v>
      </c>
      <c r="F15" s="33">
        <f>$F$6+SUM($E$8:Oktober[[#This Row],[Arbeitszeit]])</f>
        <v>-14.999999999999998</v>
      </c>
      <c r="G15" s="32"/>
      <c r="H15" s="35" t="e">
        <f>IF(ISNUMBER(MATCH(Oktober[[#This Row],[Bemerkung]],Setup!$X$73:$X$86,0)),0,VLOOKUP(WEEKDAY(A15,2),Wochenzeiten[],3,0))</f>
        <v>#REF!</v>
      </c>
      <c r="I15" s="35" t="e">
        <f>IF(ISNUMBER(LOOKUP(Oktober[[#This Row],[Bemerkung]],Setup!$X$71:$X80)),0,Oktober[[#This Row],[Ende]]-Oktober[[#This Row],[Beginn]]-Oktober[[#This Row],[Pause]]-Oktober[[#This Row],[Berechnungshilfe1]])</f>
        <v>#REF!</v>
      </c>
    </row>
    <row r="16" spans="1:15" ht="12.95" customHeight="1" x14ac:dyDescent="0.2">
      <c r="A16" s="53">
        <f t="shared" si="1"/>
        <v>43746</v>
      </c>
      <c r="B16" s="30">
        <v>0</v>
      </c>
      <c r="C16" s="30">
        <v>0</v>
      </c>
      <c r="D16" s="47">
        <f t="shared" si="0"/>
        <v>0</v>
      </c>
      <c r="E16" s="31">
        <f>Oktober[[#This Row],[Ende]]-Oktober[[#This Row],[Beginn]]-Oktober[[#This Row],[Pause]]</f>
        <v>0</v>
      </c>
      <c r="F16" s="33">
        <f>$F$6+SUM($E$8:Oktober[[#This Row],[Arbeitszeit]])</f>
        <v>-14.999999999999998</v>
      </c>
      <c r="G16" s="32"/>
      <c r="H16" s="35" t="e">
        <f>IF(ISNUMBER(MATCH(Oktober[[#This Row],[Bemerkung]],Setup!$X$73:$X$86,0)),0,VLOOKUP(WEEKDAY(A16,2),Wochenzeiten[],3,0))</f>
        <v>#REF!</v>
      </c>
      <c r="I16" s="35" t="e">
        <f>IF(ISNUMBER(LOOKUP(Oktober[[#This Row],[Bemerkung]],Setup!$X$71:$X81)),0,Oktober[[#This Row],[Ende]]-Oktober[[#This Row],[Beginn]]-Oktober[[#This Row],[Pause]]-Oktober[[#This Row],[Berechnungshilfe1]])</f>
        <v>#REF!</v>
      </c>
    </row>
    <row r="17" spans="1:9" ht="12.95" customHeight="1" x14ac:dyDescent="0.2">
      <c r="A17" s="53">
        <f t="shared" si="1"/>
        <v>43747</v>
      </c>
      <c r="B17" s="30">
        <v>0</v>
      </c>
      <c r="C17" s="30">
        <v>0</v>
      </c>
      <c r="D17" s="47">
        <f t="shared" si="0"/>
        <v>0</v>
      </c>
      <c r="E17" s="31">
        <f>Oktober[[#This Row],[Ende]]-Oktober[[#This Row],[Beginn]]-Oktober[[#This Row],[Pause]]</f>
        <v>0</v>
      </c>
      <c r="F17" s="33">
        <f>$F$6+SUM($E$8:Oktober[[#This Row],[Arbeitszeit]])</f>
        <v>-14.999999999999998</v>
      </c>
      <c r="G17" s="32"/>
      <c r="H17" s="35" t="e">
        <f>IF(ISNUMBER(MATCH(Oktober[[#This Row],[Bemerkung]],Setup!$X$73:$X$86,0)),0,VLOOKUP(WEEKDAY(A17,2),Wochenzeiten[],3,0))</f>
        <v>#REF!</v>
      </c>
      <c r="I17" s="35" t="e">
        <f>IF(ISNUMBER(LOOKUP(Oktober[[#This Row],[Bemerkung]],Setup!$X$71:$X82)),0,Oktober[[#This Row],[Ende]]-Oktober[[#This Row],[Beginn]]-Oktober[[#This Row],[Pause]]-Oktober[[#This Row],[Berechnungshilfe1]])</f>
        <v>#REF!</v>
      </c>
    </row>
    <row r="18" spans="1:9" ht="12.95" customHeight="1" x14ac:dyDescent="0.2">
      <c r="A18" s="53">
        <f t="shared" si="1"/>
        <v>43748</v>
      </c>
      <c r="B18" s="30">
        <v>0</v>
      </c>
      <c r="C18" s="30">
        <v>0</v>
      </c>
      <c r="D18" s="47">
        <f t="shared" si="0"/>
        <v>0</v>
      </c>
      <c r="E18" s="31">
        <f>Oktober[[#This Row],[Ende]]-Oktober[[#This Row],[Beginn]]-Oktober[[#This Row],[Pause]]</f>
        <v>0</v>
      </c>
      <c r="F18" s="33">
        <f>$F$6+SUM($E$8:Oktober[[#This Row],[Arbeitszeit]])</f>
        <v>-14.999999999999998</v>
      </c>
      <c r="G18" s="32"/>
      <c r="H18" s="35" t="e">
        <f>IF(ISNUMBER(MATCH(Oktober[[#This Row],[Bemerkung]],Setup!$X$73:$X$86,0)),0,VLOOKUP(WEEKDAY(A18,2),Wochenzeiten[],3,0))</f>
        <v>#REF!</v>
      </c>
      <c r="I18" s="35" t="e">
        <f>IF(ISNUMBER(LOOKUP(Oktober[[#This Row],[Bemerkung]],Setup!$X$71:$X83)),0,Oktober[[#This Row],[Ende]]-Oktober[[#This Row],[Beginn]]-Oktober[[#This Row],[Pause]]-Oktober[[#This Row],[Berechnungshilfe1]])</f>
        <v>#REF!</v>
      </c>
    </row>
    <row r="19" spans="1:9" ht="12.95" customHeight="1" x14ac:dyDescent="0.2">
      <c r="A19" s="53">
        <f t="shared" si="1"/>
        <v>43749</v>
      </c>
      <c r="B19" s="30">
        <v>0</v>
      </c>
      <c r="C19" s="30">
        <v>0</v>
      </c>
      <c r="D19" s="47">
        <f t="shared" si="0"/>
        <v>0</v>
      </c>
      <c r="E19" s="31">
        <f>Oktober[[#This Row],[Ende]]-Oktober[[#This Row],[Beginn]]-Oktober[[#This Row],[Pause]]</f>
        <v>0</v>
      </c>
      <c r="F19" s="33">
        <f>$F$6+SUM($E$8:Oktober[[#This Row],[Arbeitszeit]])</f>
        <v>-14.999999999999998</v>
      </c>
      <c r="G19" s="32"/>
      <c r="H19" s="35" t="e">
        <f>IF(ISNUMBER(MATCH(Oktober[[#This Row],[Bemerkung]],Setup!$X$73:$X$86,0)),0,VLOOKUP(WEEKDAY(A19,2),Wochenzeiten[],3,0))</f>
        <v>#REF!</v>
      </c>
      <c r="I19" s="35" t="e">
        <f>IF(ISNUMBER(LOOKUP(Oktober[[#This Row],[Bemerkung]],Setup!$X$71:$X84)),0,Oktober[[#This Row],[Ende]]-Oktober[[#This Row],[Beginn]]-Oktober[[#This Row],[Pause]]-Oktober[[#This Row],[Berechnungshilfe1]])</f>
        <v>#REF!</v>
      </c>
    </row>
    <row r="20" spans="1:9" ht="12.95" customHeight="1" x14ac:dyDescent="0.2">
      <c r="A20" s="53">
        <f t="shared" si="1"/>
        <v>43750</v>
      </c>
      <c r="B20" s="30">
        <v>0</v>
      </c>
      <c r="C20" s="30">
        <v>0</v>
      </c>
      <c r="D20" s="47">
        <f t="shared" si="0"/>
        <v>0</v>
      </c>
      <c r="E20" s="31">
        <f>Oktober[[#This Row],[Ende]]-Oktober[[#This Row],[Beginn]]-Oktober[[#This Row],[Pause]]</f>
        <v>0</v>
      </c>
      <c r="F20" s="33">
        <f>$F$6+SUM($E$8:Oktober[[#This Row],[Arbeitszeit]])</f>
        <v>-14.999999999999998</v>
      </c>
      <c r="G20" s="32"/>
      <c r="H20" s="35" t="e">
        <f>IF(ISNUMBER(MATCH(Oktober[[#This Row],[Bemerkung]],Setup!$X$73:$X$86,0)),0,VLOOKUP(WEEKDAY(A20,2),Wochenzeiten[],3,0))</f>
        <v>#REF!</v>
      </c>
      <c r="I20" s="35" t="e">
        <f>IF(ISNUMBER(LOOKUP(Oktober[[#This Row],[Bemerkung]],Setup!$X$71:$X85)),0,Oktober[[#This Row],[Ende]]-Oktober[[#This Row],[Beginn]]-Oktober[[#This Row],[Pause]]-Oktober[[#This Row],[Berechnungshilfe1]])</f>
        <v>#REF!</v>
      </c>
    </row>
    <row r="21" spans="1:9" ht="12.95" customHeight="1" x14ac:dyDescent="0.2">
      <c r="A21" s="53">
        <f t="shared" si="1"/>
        <v>43751</v>
      </c>
      <c r="B21" s="30">
        <v>0</v>
      </c>
      <c r="C21" s="30">
        <v>0</v>
      </c>
      <c r="D21" s="47">
        <f t="shared" si="0"/>
        <v>0</v>
      </c>
      <c r="E21" s="31">
        <f>Oktober[[#This Row],[Ende]]-Oktober[[#This Row],[Beginn]]-Oktober[[#This Row],[Pause]]</f>
        <v>0</v>
      </c>
      <c r="F21" s="33">
        <f>$F$6+SUM($E$8:Oktober[[#This Row],[Arbeitszeit]])</f>
        <v>-14.999999999999998</v>
      </c>
      <c r="G21" s="32"/>
      <c r="H21" s="35" t="e">
        <f>IF(ISNUMBER(MATCH(Oktober[[#This Row],[Bemerkung]],Setup!$X$73:$X$86,0)),0,VLOOKUP(WEEKDAY(A21,2),Wochenzeiten[],3,0))</f>
        <v>#REF!</v>
      </c>
      <c r="I21" s="35" t="e">
        <f>IF(ISNUMBER(LOOKUP(Oktober[[#This Row],[Bemerkung]],Setup!$X$71:$X86)),0,Oktober[[#This Row],[Ende]]-Oktober[[#This Row],[Beginn]]-Oktober[[#This Row],[Pause]]-Oktober[[#This Row],[Berechnungshilfe1]])</f>
        <v>#REF!</v>
      </c>
    </row>
    <row r="22" spans="1:9" ht="12.95" customHeight="1" x14ac:dyDescent="0.2">
      <c r="A22" s="53">
        <f t="shared" si="1"/>
        <v>43752</v>
      </c>
      <c r="B22" s="30">
        <v>0</v>
      </c>
      <c r="C22" s="30">
        <v>0</v>
      </c>
      <c r="D22" s="47">
        <f t="shared" si="0"/>
        <v>0</v>
      </c>
      <c r="E22" s="31">
        <f>Oktober[[#This Row],[Ende]]-Oktober[[#This Row],[Beginn]]-Oktober[[#This Row],[Pause]]</f>
        <v>0</v>
      </c>
      <c r="F22" s="33">
        <f>$F$6+SUM($E$8:Oktober[[#This Row],[Arbeitszeit]])</f>
        <v>-14.999999999999998</v>
      </c>
      <c r="G22" s="32"/>
      <c r="H22" s="35" t="e">
        <f>IF(ISNUMBER(MATCH(Oktober[[#This Row],[Bemerkung]],Setup!$X$73:$X$86,0)),0,VLOOKUP(WEEKDAY(A22,2),Wochenzeiten[],3,0))</f>
        <v>#REF!</v>
      </c>
      <c r="I22" s="35" t="e">
        <f>IF(ISNUMBER(LOOKUP(Oktober[[#This Row],[Bemerkung]],Setup!$X$71:$X87)),0,Oktober[[#This Row],[Ende]]-Oktober[[#This Row],[Beginn]]-Oktober[[#This Row],[Pause]]-Oktober[[#This Row],[Berechnungshilfe1]])</f>
        <v>#REF!</v>
      </c>
    </row>
    <row r="23" spans="1:9" ht="12.95" customHeight="1" x14ac:dyDescent="0.2">
      <c r="A23" s="53">
        <f t="shared" si="1"/>
        <v>43753</v>
      </c>
      <c r="B23" s="30">
        <v>0</v>
      </c>
      <c r="C23" s="30">
        <v>0</v>
      </c>
      <c r="D23" s="47">
        <f t="shared" si="0"/>
        <v>0</v>
      </c>
      <c r="E23" s="31">
        <f>Oktober[[#This Row],[Ende]]-Oktober[[#This Row],[Beginn]]-Oktober[[#This Row],[Pause]]</f>
        <v>0</v>
      </c>
      <c r="F23" s="33">
        <f>$F$6+SUM($E$8:Oktober[[#This Row],[Arbeitszeit]])</f>
        <v>-14.999999999999998</v>
      </c>
      <c r="G23" s="32"/>
      <c r="H23" s="35" t="e">
        <f>IF(ISNUMBER(MATCH(Oktober[[#This Row],[Bemerkung]],Setup!$X$73:$X$86,0)),0,VLOOKUP(WEEKDAY(A23,2),Wochenzeiten[],3,0))</f>
        <v>#REF!</v>
      </c>
      <c r="I23" s="35" t="e">
        <f>IF(ISNUMBER(LOOKUP(Oktober[[#This Row],[Bemerkung]],Setup!$X$71:$X87)),0,Oktober[[#This Row],[Ende]]-Oktober[[#This Row],[Beginn]]-Oktober[[#This Row],[Pause]]-Oktober[[#This Row],[Berechnungshilfe1]])</f>
        <v>#REF!</v>
      </c>
    </row>
    <row r="24" spans="1:9" ht="12.95" customHeight="1" x14ac:dyDescent="0.2">
      <c r="A24" s="53">
        <f t="shared" si="1"/>
        <v>43754</v>
      </c>
      <c r="B24" s="30">
        <v>0</v>
      </c>
      <c r="C24" s="30">
        <v>0</v>
      </c>
      <c r="D24" s="47">
        <f t="shared" si="0"/>
        <v>0</v>
      </c>
      <c r="E24" s="31">
        <f>Oktober[[#This Row],[Ende]]-Oktober[[#This Row],[Beginn]]-Oktober[[#This Row],[Pause]]</f>
        <v>0</v>
      </c>
      <c r="F24" s="33">
        <f>$F$6+SUM($E$8:Oktober[[#This Row],[Arbeitszeit]])</f>
        <v>-14.999999999999998</v>
      </c>
      <c r="G24" s="32"/>
      <c r="H24" s="35" t="e">
        <f>IF(ISNUMBER(MATCH(Oktober[[#This Row],[Bemerkung]],Setup!$X$73:$X$86,0)),0,VLOOKUP(WEEKDAY(A24,2),Wochenzeiten[],3,0))</f>
        <v>#REF!</v>
      </c>
      <c r="I24" s="35" t="e">
        <f>IF(ISNUMBER(LOOKUP(Oktober[[#This Row],[Bemerkung]],Setup!$X$71:$X88)),0,Oktober[[#This Row],[Ende]]-Oktober[[#This Row],[Beginn]]-Oktober[[#This Row],[Pause]]-Oktober[[#This Row],[Berechnungshilfe1]])</f>
        <v>#REF!</v>
      </c>
    </row>
    <row r="25" spans="1:9" ht="12.95" customHeight="1" x14ac:dyDescent="0.2">
      <c r="A25" s="53">
        <f t="shared" si="1"/>
        <v>43755</v>
      </c>
      <c r="B25" s="30">
        <v>0</v>
      </c>
      <c r="C25" s="30">
        <v>0</v>
      </c>
      <c r="D25" s="47">
        <f t="shared" si="0"/>
        <v>0</v>
      </c>
      <c r="E25" s="31">
        <f>Oktober[[#This Row],[Ende]]-Oktober[[#This Row],[Beginn]]-Oktober[[#This Row],[Pause]]</f>
        <v>0</v>
      </c>
      <c r="F25" s="33">
        <f>$F$6+SUM($E$8:Oktober[[#This Row],[Arbeitszeit]])</f>
        <v>-14.999999999999998</v>
      </c>
      <c r="G25" s="32"/>
      <c r="H25" s="35" t="e">
        <f>IF(ISNUMBER(MATCH(Oktober[[#This Row],[Bemerkung]],Setup!$X$73:$X$86,0)),0,VLOOKUP(WEEKDAY(A25,2),Wochenzeiten[],3,0))</f>
        <v>#REF!</v>
      </c>
      <c r="I25" s="35" t="e">
        <f>IF(ISNUMBER(LOOKUP(Oktober[[#This Row],[Bemerkung]],Setup!$X$71:$X89)),0,Oktober[[#This Row],[Ende]]-Oktober[[#This Row],[Beginn]]-Oktober[[#This Row],[Pause]]-Oktober[[#This Row],[Berechnungshilfe1]])</f>
        <v>#REF!</v>
      </c>
    </row>
    <row r="26" spans="1:9" ht="12.95" customHeight="1" x14ac:dyDescent="0.2">
      <c r="A26" s="53">
        <f t="shared" si="1"/>
        <v>43756</v>
      </c>
      <c r="B26" s="30">
        <v>0</v>
      </c>
      <c r="C26" s="30">
        <v>0</v>
      </c>
      <c r="D26" s="47">
        <f t="shared" si="0"/>
        <v>0</v>
      </c>
      <c r="E26" s="31">
        <f>Oktober[[#This Row],[Ende]]-Oktober[[#This Row],[Beginn]]-Oktober[[#This Row],[Pause]]</f>
        <v>0</v>
      </c>
      <c r="F26" s="33">
        <f>$F$6+SUM($E$8:Oktober[[#This Row],[Arbeitszeit]])</f>
        <v>-14.999999999999998</v>
      </c>
      <c r="G26" s="32"/>
      <c r="H26" s="35" t="e">
        <f>IF(ISNUMBER(MATCH(Oktober[[#This Row],[Bemerkung]],Setup!$X$73:$X$86,0)),0,VLOOKUP(WEEKDAY(A26,2),Wochenzeiten[],3,0))</f>
        <v>#REF!</v>
      </c>
      <c r="I26" s="35" t="e">
        <f>IF(ISNUMBER(LOOKUP(Oktober[[#This Row],[Bemerkung]],Setup!$X$71:$X90)),0,Oktober[[#This Row],[Ende]]-Oktober[[#This Row],[Beginn]]-Oktober[[#This Row],[Pause]]-Oktober[[#This Row],[Berechnungshilfe1]])</f>
        <v>#REF!</v>
      </c>
    </row>
    <row r="27" spans="1:9" ht="12.95" customHeight="1" x14ac:dyDescent="0.2">
      <c r="A27" s="53">
        <f t="shared" si="1"/>
        <v>43757</v>
      </c>
      <c r="B27" s="30">
        <v>0</v>
      </c>
      <c r="C27" s="30">
        <v>0</v>
      </c>
      <c r="D27" s="47">
        <f t="shared" si="0"/>
        <v>0</v>
      </c>
      <c r="E27" s="31">
        <f>Oktober[[#This Row],[Ende]]-Oktober[[#This Row],[Beginn]]-Oktober[[#This Row],[Pause]]</f>
        <v>0</v>
      </c>
      <c r="F27" s="33">
        <f>$F$6+SUM($E$8:Oktober[[#This Row],[Arbeitszeit]])</f>
        <v>-14.999999999999998</v>
      </c>
      <c r="G27" s="32"/>
      <c r="H27" s="35" t="e">
        <f>IF(ISNUMBER(MATCH(Oktober[[#This Row],[Bemerkung]],Setup!$X$73:$X$86,0)),0,VLOOKUP(WEEKDAY(A27,2),Wochenzeiten[],3,0))</f>
        <v>#REF!</v>
      </c>
      <c r="I27" s="35" t="e">
        <f>IF(ISNUMBER(LOOKUP(Oktober[[#This Row],[Bemerkung]],Setup!$X$71:$X91)),0,Oktober[[#This Row],[Ende]]-Oktober[[#This Row],[Beginn]]-Oktober[[#This Row],[Pause]]-Oktober[[#This Row],[Berechnungshilfe1]])</f>
        <v>#REF!</v>
      </c>
    </row>
    <row r="28" spans="1:9" ht="12.95" customHeight="1" x14ac:dyDescent="0.2">
      <c r="A28" s="53">
        <f t="shared" si="1"/>
        <v>43758</v>
      </c>
      <c r="B28" s="30">
        <v>0</v>
      </c>
      <c r="C28" s="30">
        <v>0</v>
      </c>
      <c r="D28" s="47">
        <f t="shared" si="0"/>
        <v>0</v>
      </c>
      <c r="E28" s="31">
        <f>Oktober[[#This Row],[Ende]]-Oktober[[#This Row],[Beginn]]-Oktober[[#This Row],[Pause]]</f>
        <v>0</v>
      </c>
      <c r="F28" s="33">
        <f>$F$6+SUM($E$8:Oktober[[#This Row],[Arbeitszeit]])</f>
        <v>-14.999999999999998</v>
      </c>
      <c r="G28" s="32"/>
      <c r="H28" s="35" t="e">
        <f>IF(ISNUMBER(MATCH(Oktober[[#This Row],[Bemerkung]],Setup!$X$73:$X$86,0)),0,VLOOKUP(WEEKDAY(A28,2),Wochenzeiten[],3,0))</f>
        <v>#REF!</v>
      </c>
      <c r="I28" s="35" t="e">
        <f>IF(ISNUMBER(LOOKUP(Oktober[[#This Row],[Bemerkung]],Setup!$X$71:$X92)),0,Oktober[[#This Row],[Ende]]-Oktober[[#This Row],[Beginn]]-Oktober[[#This Row],[Pause]]-Oktober[[#This Row],[Berechnungshilfe1]])</f>
        <v>#REF!</v>
      </c>
    </row>
    <row r="29" spans="1:9" ht="12.95" customHeight="1" x14ac:dyDescent="0.2">
      <c r="A29" s="53">
        <f t="shared" si="1"/>
        <v>43759</v>
      </c>
      <c r="B29" s="30">
        <v>0</v>
      </c>
      <c r="C29" s="30">
        <v>0</v>
      </c>
      <c r="D29" s="47">
        <f t="shared" si="0"/>
        <v>0</v>
      </c>
      <c r="E29" s="31">
        <f>Oktober[[#This Row],[Ende]]-Oktober[[#This Row],[Beginn]]-Oktober[[#This Row],[Pause]]</f>
        <v>0</v>
      </c>
      <c r="F29" s="33">
        <f>$F$6+SUM($E$8:Oktober[[#This Row],[Arbeitszeit]])</f>
        <v>-14.999999999999998</v>
      </c>
      <c r="G29" s="32"/>
      <c r="H29" s="35" t="e">
        <f>IF(ISNUMBER(MATCH(Oktober[[#This Row],[Bemerkung]],Setup!$X$73:$X$86,0)),0,VLOOKUP(WEEKDAY(A29,2),Wochenzeiten[],3,0))</f>
        <v>#REF!</v>
      </c>
      <c r="I29" s="35" t="e">
        <f>IF(ISNUMBER(LOOKUP(Oktober[[#This Row],[Bemerkung]],Setup!$X$71:$X93)),0,Oktober[[#This Row],[Ende]]-Oktober[[#This Row],[Beginn]]-Oktober[[#This Row],[Pause]]-Oktober[[#This Row],[Berechnungshilfe1]])</f>
        <v>#REF!</v>
      </c>
    </row>
    <row r="30" spans="1:9" ht="12.95" customHeight="1" x14ac:dyDescent="0.2">
      <c r="A30" s="53">
        <f t="shared" si="1"/>
        <v>43760</v>
      </c>
      <c r="B30" s="30">
        <v>0</v>
      </c>
      <c r="C30" s="30">
        <v>0</v>
      </c>
      <c r="D30" s="47">
        <f t="shared" si="0"/>
        <v>0</v>
      </c>
      <c r="E30" s="31">
        <f>Oktober[[#This Row],[Ende]]-Oktober[[#This Row],[Beginn]]-Oktober[[#This Row],[Pause]]</f>
        <v>0</v>
      </c>
      <c r="F30" s="33">
        <f>$F$6+SUM($E$8:Oktober[[#This Row],[Arbeitszeit]])</f>
        <v>-14.999999999999998</v>
      </c>
      <c r="G30" s="32"/>
      <c r="H30" s="35" t="e">
        <f>IF(ISNUMBER(MATCH(Oktober[[#This Row],[Bemerkung]],Setup!$X$73:$X$86,0)),0,VLOOKUP(WEEKDAY(A30,2),Wochenzeiten[],3,0))</f>
        <v>#REF!</v>
      </c>
      <c r="I30" s="35" t="e">
        <f>IF(ISNUMBER(LOOKUP(Oktober[[#This Row],[Bemerkung]],Setup!$X$71:$X94)),0,Oktober[[#This Row],[Ende]]-Oktober[[#This Row],[Beginn]]-Oktober[[#This Row],[Pause]]-Oktober[[#This Row],[Berechnungshilfe1]])</f>
        <v>#REF!</v>
      </c>
    </row>
    <row r="31" spans="1:9" ht="12.95" customHeight="1" x14ac:dyDescent="0.2">
      <c r="A31" s="53">
        <f t="shared" si="1"/>
        <v>43761</v>
      </c>
      <c r="B31" s="30">
        <v>0</v>
      </c>
      <c r="C31" s="30">
        <v>0</v>
      </c>
      <c r="D31" s="47">
        <f t="shared" si="0"/>
        <v>0</v>
      </c>
      <c r="E31" s="31">
        <f>Oktober[[#This Row],[Ende]]-Oktober[[#This Row],[Beginn]]-Oktober[[#This Row],[Pause]]</f>
        <v>0</v>
      </c>
      <c r="F31" s="33">
        <f>$F$6+SUM($E$8:Oktober[[#This Row],[Arbeitszeit]])</f>
        <v>-14.999999999999998</v>
      </c>
      <c r="G31" s="32"/>
      <c r="H31" s="35" t="e">
        <f>IF(ISNUMBER(MATCH(Oktober[[#This Row],[Bemerkung]],Setup!$X$73:$X$86,0)),0,VLOOKUP(WEEKDAY(A31,2),Wochenzeiten[],3,0))</f>
        <v>#REF!</v>
      </c>
      <c r="I31" s="35" t="e">
        <f>IF(ISNUMBER(LOOKUP(Oktober[[#This Row],[Bemerkung]],Setup!$X$71:$X95)),0,Oktober[[#This Row],[Ende]]-Oktober[[#This Row],[Beginn]]-Oktober[[#This Row],[Pause]]-Oktober[[#This Row],[Berechnungshilfe1]])</f>
        <v>#REF!</v>
      </c>
    </row>
    <row r="32" spans="1:9" ht="12.95" customHeight="1" x14ac:dyDescent="0.2">
      <c r="A32" s="53">
        <f t="shared" si="1"/>
        <v>43762</v>
      </c>
      <c r="B32" s="30">
        <v>0</v>
      </c>
      <c r="C32" s="30">
        <v>0</v>
      </c>
      <c r="D32" s="47">
        <f t="shared" si="0"/>
        <v>0</v>
      </c>
      <c r="E32" s="31">
        <f>Oktober[[#This Row],[Ende]]-Oktober[[#This Row],[Beginn]]-Oktober[[#This Row],[Pause]]</f>
        <v>0</v>
      </c>
      <c r="F32" s="33">
        <f>$F$6+SUM($E$8:Oktober[[#This Row],[Arbeitszeit]])</f>
        <v>-14.999999999999998</v>
      </c>
      <c r="G32" s="32"/>
      <c r="H32" s="35" t="e">
        <f>IF(ISNUMBER(MATCH(Oktober[[#This Row],[Bemerkung]],Setup!$X$73:$X$86,0)),0,VLOOKUP(WEEKDAY(A32,2),Wochenzeiten[],3,0))</f>
        <v>#REF!</v>
      </c>
      <c r="I32" s="35" t="e">
        <f>IF(ISNUMBER(LOOKUP(Oktober[[#This Row],[Bemerkung]],Setup!$X$71:$X96)),0,Oktober[[#This Row],[Ende]]-Oktober[[#This Row],[Beginn]]-Oktober[[#This Row],[Pause]]-Oktober[[#This Row],[Berechnungshilfe1]])</f>
        <v>#REF!</v>
      </c>
    </row>
    <row r="33" spans="1:9" ht="12.95" customHeight="1" x14ac:dyDescent="0.2">
      <c r="A33" s="53">
        <f t="shared" si="1"/>
        <v>43763</v>
      </c>
      <c r="B33" s="30">
        <v>0</v>
      </c>
      <c r="C33" s="30">
        <v>0</v>
      </c>
      <c r="D33" s="47">
        <f t="shared" si="0"/>
        <v>0</v>
      </c>
      <c r="E33" s="31">
        <f>Oktober[[#This Row],[Ende]]-Oktober[[#This Row],[Beginn]]-Oktober[[#This Row],[Pause]]</f>
        <v>0</v>
      </c>
      <c r="F33" s="33">
        <f>$F$6+SUM($E$8:Oktober[[#This Row],[Arbeitszeit]])</f>
        <v>-14.999999999999998</v>
      </c>
      <c r="G33" s="32"/>
      <c r="H33" s="35" t="e">
        <f>IF(ISNUMBER(MATCH(Oktober[[#This Row],[Bemerkung]],Setup!$X$73:$X$86,0)),0,VLOOKUP(WEEKDAY(A33,2),Wochenzeiten[],3,0))</f>
        <v>#REF!</v>
      </c>
      <c r="I33" s="35" t="e">
        <f>IF(ISNUMBER(LOOKUP(Oktober[[#This Row],[Bemerkung]],Setup!$X$71:$X97)),0,Oktober[[#This Row],[Ende]]-Oktober[[#This Row],[Beginn]]-Oktober[[#This Row],[Pause]]-Oktober[[#This Row],[Berechnungshilfe1]])</f>
        <v>#REF!</v>
      </c>
    </row>
    <row r="34" spans="1:9" ht="12.95" customHeight="1" x14ac:dyDescent="0.2">
      <c r="A34" s="53">
        <f t="shared" si="1"/>
        <v>43764</v>
      </c>
      <c r="B34" s="30">
        <v>0</v>
      </c>
      <c r="C34" s="30">
        <v>0</v>
      </c>
      <c r="D34" s="47">
        <f t="shared" si="0"/>
        <v>0</v>
      </c>
      <c r="E34" s="31">
        <f>Oktober[[#This Row],[Ende]]-Oktober[[#This Row],[Beginn]]-Oktober[[#This Row],[Pause]]</f>
        <v>0</v>
      </c>
      <c r="F34" s="33">
        <f>$F$6+SUM($E$8:Oktober[[#This Row],[Arbeitszeit]])</f>
        <v>-14.999999999999998</v>
      </c>
      <c r="G34" s="32"/>
      <c r="H34" s="35" t="e">
        <f>IF(ISNUMBER(MATCH(Oktober[[#This Row],[Bemerkung]],Setup!$X$73:$X$86,0)),0,VLOOKUP(WEEKDAY(A34,2),Wochenzeiten[],3,0))</f>
        <v>#REF!</v>
      </c>
      <c r="I34" s="35" t="e">
        <f>IF(ISNUMBER(LOOKUP(Oktober[[#This Row],[Bemerkung]],Setup!$X$71:$X98)),0,Oktober[[#This Row],[Ende]]-Oktober[[#This Row],[Beginn]]-Oktober[[#This Row],[Pause]]-Oktober[[#This Row],[Berechnungshilfe1]])</f>
        <v>#REF!</v>
      </c>
    </row>
    <row r="35" spans="1:9" ht="12.75" customHeight="1" x14ac:dyDescent="0.2">
      <c r="A35" s="53">
        <f t="shared" si="1"/>
        <v>43765</v>
      </c>
      <c r="B35" s="30">
        <v>0</v>
      </c>
      <c r="C35" s="30">
        <v>0</v>
      </c>
      <c r="D35" s="47">
        <f t="shared" si="0"/>
        <v>0</v>
      </c>
      <c r="E35" s="31">
        <f>Oktober[[#This Row],[Ende]]-Oktober[[#This Row],[Beginn]]-Oktober[[#This Row],[Pause]]</f>
        <v>0</v>
      </c>
      <c r="F35" s="33">
        <f>$F$6+SUM($E$8:Oktober[[#This Row],[Arbeitszeit]])</f>
        <v>-14.999999999999998</v>
      </c>
      <c r="G35" s="32"/>
      <c r="H35" s="35" t="e">
        <f>IF(ISNUMBER(MATCH(Oktober[[#This Row],[Bemerkung]],Setup!$X$73:$X$86,0)),0,VLOOKUP(WEEKDAY(A35,2),Wochenzeiten[],3,0))</f>
        <v>#REF!</v>
      </c>
      <c r="I35" s="35" t="e">
        <f>IF(ISNUMBER(LOOKUP(Oktober[[#This Row],[Bemerkung]],Setup!$X$71:$X99)),0,Oktober[[#This Row],[Ende]]-Oktober[[#This Row],[Beginn]]-Oktober[[#This Row],[Pause]]-Oktober[[#This Row],[Berechnungshilfe1]])</f>
        <v>#REF!</v>
      </c>
    </row>
    <row r="36" spans="1:9" ht="12.75" customHeight="1" x14ac:dyDescent="0.2">
      <c r="A36" s="53">
        <f t="shared" si="1"/>
        <v>43766</v>
      </c>
      <c r="B36" s="30">
        <v>0</v>
      </c>
      <c r="C36" s="30">
        <v>0</v>
      </c>
      <c r="D36" s="47">
        <f t="shared" si="0"/>
        <v>0</v>
      </c>
      <c r="E36" s="31">
        <f>Oktober[[#This Row],[Ende]]-Oktober[[#This Row],[Beginn]]-Oktober[[#This Row],[Pause]]</f>
        <v>0</v>
      </c>
      <c r="F36" s="33">
        <f>$F$6+SUM($E$8:Oktober[[#This Row],[Arbeitszeit]])</f>
        <v>-14.999999999999998</v>
      </c>
      <c r="G36" s="32"/>
      <c r="H36" s="35" t="e">
        <f>IF(ISNUMBER(MATCH(Oktober[[#This Row],[Bemerkung]],Setup!$X$73:$X$86,0)),0,VLOOKUP(WEEKDAY(A36,2),Wochenzeiten[],3,0))</f>
        <v>#REF!</v>
      </c>
      <c r="I36" s="35" t="e">
        <f>IF(ISNUMBER(LOOKUP(Oktober[[#This Row],[Bemerkung]],Setup!$X$71:$X100)),0,Oktober[[#This Row],[Ende]]-Oktober[[#This Row],[Beginn]]-Oktober[[#This Row],[Pause]]-Oktober[[#This Row],[Berechnungshilfe1]])</f>
        <v>#REF!</v>
      </c>
    </row>
    <row r="37" spans="1:9" ht="12.75" customHeight="1" x14ac:dyDescent="0.2">
      <c r="A37" s="53">
        <f t="shared" si="1"/>
        <v>43767</v>
      </c>
      <c r="B37" s="30">
        <v>0</v>
      </c>
      <c r="C37" s="30">
        <v>0</v>
      </c>
      <c r="D37" s="47">
        <f t="shared" si="0"/>
        <v>0</v>
      </c>
      <c r="E37" s="31">
        <f>Oktober[[#This Row],[Ende]]-Oktober[[#This Row],[Beginn]]-Oktober[[#This Row],[Pause]]</f>
        <v>0</v>
      </c>
      <c r="F37" s="33">
        <f>$F$6+SUM($E$8:Oktober[[#This Row],[Arbeitszeit]])</f>
        <v>-14.999999999999998</v>
      </c>
      <c r="G37" s="32"/>
      <c r="H37" s="35" t="e">
        <f>IF(ISNUMBER(MATCH(Oktober[[#This Row],[Bemerkung]],Setup!$X$73:$X$86,0)),0,VLOOKUP(WEEKDAY(A37,2),Wochenzeiten[],3,0))</f>
        <v>#REF!</v>
      </c>
      <c r="I37" s="35" t="e">
        <f>IF(ISNUMBER(LOOKUP(Oktober[[#This Row],[Bemerkung]],Setup!$X$71:$X101)),0,Oktober[[#This Row],[Ende]]-Oktober[[#This Row],[Beginn]]-Oktober[[#This Row],[Pause]]-Oktober[[#This Row],[Berechnungshilfe1]])</f>
        <v>#REF!</v>
      </c>
    </row>
    <row r="38" spans="1:9" ht="12.75" customHeight="1" x14ac:dyDescent="0.2">
      <c r="A38" s="53">
        <f t="shared" si="1"/>
        <v>43768</v>
      </c>
      <c r="B38" s="30">
        <v>0</v>
      </c>
      <c r="C38" s="30">
        <v>0</v>
      </c>
      <c r="D38" s="47">
        <f t="shared" si="0"/>
        <v>0</v>
      </c>
      <c r="E38" s="31">
        <f>Oktober[[#This Row],[Ende]]-Oktober[[#This Row],[Beginn]]-Oktober[[#This Row],[Pause]]</f>
        <v>0</v>
      </c>
      <c r="F38" s="33">
        <f>$F$6+SUM($E$8:Oktober[[#This Row],[Arbeitszeit]])</f>
        <v>-14.999999999999998</v>
      </c>
      <c r="G38" s="32"/>
      <c r="H38" s="35" t="e">
        <f>IF(ISNUMBER(MATCH(Oktober[[#This Row],[Bemerkung]],Setup!$X$73:$X$86,0)),0,VLOOKUP(WEEKDAY(A38,2),Wochenzeiten[],3,0))</f>
        <v>#REF!</v>
      </c>
      <c r="I38" s="35" t="e">
        <f>IF(ISNUMBER(LOOKUP(Oktober[[#This Row],[Bemerkung]],Setup!$X$71:$X102)),0,Oktober[[#This Row],[Ende]]-Oktober[[#This Row],[Beginn]]-Oktober[[#This Row],[Pause]]-Oktober[[#This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SUM(Oktober[Arbeitszeit])+$F$6-E47</f>
        <v>-16.666666666666664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5" priority="1">
      <formula>WEEKDAY($A8,2)&gt;5</formula>
    </cfRule>
    <cfRule type="cellIs" dxfId="4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DATE(Setup!C13,11,1)</f>
        <v>43769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Oktober!F39</f>
        <v>-16.666666666666664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43769</v>
      </c>
      <c r="B8" s="30">
        <v>0</v>
      </c>
      <c r="C8" s="30">
        <v>0</v>
      </c>
      <c r="D8" s="47">
        <f t="shared" ref="D8:D37" si="0">IF((C8-B8)&lt;TIME(6,1,0),TIME(0,0,0),IF((C8-B8)&lt;TIME(9,31,0),$E$44,$E$45))</f>
        <v>0</v>
      </c>
      <c r="E8" s="31">
        <f>November[[#This Row],[Ende]]-November[[#This Row],[Beginn]]-November[[#This Row],[Pause]]</f>
        <v>0</v>
      </c>
      <c r="F8" s="33">
        <f>$F$6+SUM($E$8:November[[#This Row],[Arbeitszeit]])</f>
        <v>-16.666666666666664</v>
      </c>
      <c r="G8" s="32"/>
      <c r="H8" s="35" t="e">
        <f>IF(ISNUMBER(MATCH(November[[#This Row],[Bemerkung]],Setup!$X$73:$X$86,0)),0,VLOOKUP(WEEKDAY(A8,2),Wochenzeiten[],3,0))</f>
        <v>#REF!</v>
      </c>
      <c r="I8" s="35" t="e">
        <f>IF(ISNUMBER(LOOKUP(November[[#This Row],[Bemerkung]],Setup!$X$71:$X72)),0,November[[#This Row],[Ende]]-November[[#This Row],[Beginn]]-November[[#This Row],[Pause]]-November[[#This Row],[Berechnungshilfe1]])</f>
        <v>#REF!</v>
      </c>
    </row>
    <row r="9" spans="1:15" ht="12.95" customHeight="1" x14ac:dyDescent="0.2">
      <c r="A9" s="53">
        <f t="shared" ref="A9:A37" si="1">A8+1</f>
        <v>43770</v>
      </c>
      <c r="B9" s="30">
        <v>0</v>
      </c>
      <c r="C9" s="30">
        <v>0</v>
      </c>
      <c r="D9" s="47">
        <f t="shared" si="0"/>
        <v>0</v>
      </c>
      <c r="E9" s="31">
        <f>November[[#This Row],[Ende]]-November[[#This Row],[Beginn]]-November[[#This Row],[Pause]]</f>
        <v>0</v>
      </c>
      <c r="F9" s="33">
        <f>$F$6+SUM($E$8:November[[#This Row],[Arbeitszeit]])</f>
        <v>-16.666666666666664</v>
      </c>
      <c r="G9" s="32"/>
      <c r="H9" s="35" t="e">
        <f>IF(ISNUMBER(MATCH(November[[#This Row],[Bemerkung]],Setup!$X$73:$X$86,0)),0,VLOOKUP(WEEKDAY(A9,2),Wochenzeiten[],3,0))</f>
        <v>#REF!</v>
      </c>
      <c r="I9" s="35" t="e">
        <f>IF(ISNUMBER(LOOKUP(November[[#This Row],[Bemerkung]],Setup!$X$71:$X73)),0,November[[#This Row],[Ende]]-November[[#This Row],[Beginn]]-November[[#This Row],[Pause]]-November[[#This Row],[Berechnungshilfe1]])</f>
        <v>#REF!</v>
      </c>
    </row>
    <row r="10" spans="1:15" ht="12.95" customHeight="1" x14ac:dyDescent="0.2">
      <c r="A10" s="53">
        <f t="shared" si="1"/>
        <v>43771</v>
      </c>
      <c r="B10" s="30">
        <v>0</v>
      </c>
      <c r="C10" s="30">
        <v>0</v>
      </c>
      <c r="D10" s="47">
        <f t="shared" si="0"/>
        <v>0</v>
      </c>
      <c r="E10" s="31">
        <f>November[[#This Row],[Ende]]-November[[#This Row],[Beginn]]-November[[#This Row],[Pause]]</f>
        <v>0</v>
      </c>
      <c r="F10" s="33">
        <f>$F$6+SUM($E$8:November[[#This Row],[Arbeitszeit]])</f>
        <v>-16.666666666666664</v>
      </c>
      <c r="G10" s="34"/>
      <c r="H10" s="35" t="e">
        <f>IF(ISNUMBER(MATCH(November[[#This Row],[Bemerkung]],Setup!$X$73:$X$86,0)),0,VLOOKUP(WEEKDAY(A10,2),Wochenzeiten[],3,0))</f>
        <v>#REF!</v>
      </c>
      <c r="I10" s="35" t="e">
        <f>IF(ISNUMBER(LOOKUP(November[[#This Row],[Bemerkung]],Setup!$X$71:$X74)),0,November[[#This Row],[Ende]]-November[[#This Row],[Beginn]]-November[[#This Row],[Pause]]-November[[#This Row],[Berechnungshilfe1]])</f>
        <v>#REF!</v>
      </c>
    </row>
    <row r="11" spans="1:15" ht="12.95" customHeight="1" x14ac:dyDescent="0.2">
      <c r="A11" s="53">
        <f t="shared" si="1"/>
        <v>43772</v>
      </c>
      <c r="B11" s="30">
        <v>0</v>
      </c>
      <c r="C11" s="30">
        <v>0</v>
      </c>
      <c r="D11" s="47">
        <f t="shared" si="0"/>
        <v>0</v>
      </c>
      <c r="E11" s="31">
        <f>November[[#This Row],[Ende]]-November[[#This Row],[Beginn]]-November[[#This Row],[Pause]]</f>
        <v>0</v>
      </c>
      <c r="F11" s="33">
        <f>$F$6+SUM($E$8:November[[#This Row],[Arbeitszeit]])</f>
        <v>-16.666666666666664</v>
      </c>
      <c r="G11" s="32"/>
      <c r="H11" s="35" t="e">
        <f>IF(ISNUMBER(MATCH(November[[#This Row],[Bemerkung]],Setup!$X$73:$X$86,0)),0,VLOOKUP(WEEKDAY(A11,2),Wochenzeiten[],3,0))</f>
        <v>#REF!</v>
      </c>
      <c r="I11" s="35" t="e">
        <f>IF(ISNUMBER(LOOKUP(November[[#This Row],[Bemerkung]],Setup!$X$71:$X75)),0,November[[#This Row],[Ende]]-November[[#This Row],[Beginn]]-November[[#This Row],[Pause]]-November[[#This Row],[Berechnungshilfe1]])</f>
        <v>#REF!</v>
      </c>
    </row>
    <row r="12" spans="1:15" ht="12.95" customHeight="1" x14ac:dyDescent="0.2">
      <c r="A12" s="53">
        <f t="shared" si="1"/>
        <v>43773</v>
      </c>
      <c r="B12" s="30">
        <v>0</v>
      </c>
      <c r="C12" s="30">
        <v>0</v>
      </c>
      <c r="D12" s="47">
        <f t="shared" si="0"/>
        <v>0</v>
      </c>
      <c r="E12" s="31">
        <f>November[[#This Row],[Ende]]-November[[#This Row],[Beginn]]-November[[#This Row],[Pause]]</f>
        <v>0</v>
      </c>
      <c r="F12" s="33">
        <f>$F$6+SUM($E$8:November[[#This Row],[Arbeitszeit]])</f>
        <v>-16.666666666666664</v>
      </c>
      <c r="G12" s="32"/>
      <c r="H12" s="35" t="e">
        <f>IF(ISNUMBER(MATCH(November[[#This Row],[Bemerkung]],Setup!$X$73:$X$86,0)),0,VLOOKUP(WEEKDAY(A12,2),Wochenzeiten[],3,0))</f>
        <v>#REF!</v>
      </c>
      <c r="I12" s="35" t="e">
        <f>IF(ISNUMBER(LOOKUP(November[[#This Row],[Bemerkung]],Setup!$X$71:$X76)),0,November[[#This Row],[Ende]]-November[[#This Row],[Beginn]]-November[[#This Row],[Pause]]-November[[#This Row],[Berechnungshilfe1]])</f>
        <v>#REF!</v>
      </c>
    </row>
    <row r="13" spans="1:15" ht="12.95" customHeight="1" x14ac:dyDescent="0.2">
      <c r="A13" s="53">
        <f t="shared" si="1"/>
        <v>43774</v>
      </c>
      <c r="B13" s="30">
        <v>0</v>
      </c>
      <c r="C13" s="30">
        <v>0</v>
      </c>
      <c r="D13" s="47">
        <f t="shared" si="0"/>
        <v>0</v>
      </c>
      <c r="E13" s="31">
        <f>November[[#This Row],[Ende]]-November[[#This Row],[Beginn]]-November[[#This Row],[Pause]]</f>
        <v>0</v>
      </c>
      <c r="F13" s="33">
        <f>$F$6+SUM($E$8:November[[#This Row],[Arbeitszeit]])</f>
        <v>-16.666666666666664</v>
      </c>
      <c r="G13" s="34"/>
      <c r="H13" s="35" t="e">
        <f>IF(ISNUMBER(MATCH(November[[#This Row],[Bemerkung]],Setup!$X$73:$X$86,0)),0,VLOOKUP(WEEKDAY(A13,2),Wochenzeiten[],3,0))</f>
        <v>#REF!</v>
      </c>
      <c r="I13" s="35" t="e">
        <f>IF(ISNUMBER(LOOKUP(November[[#This Row],[Bemerkung]],Setup!$X$71:$X77)),0,November[[#This Row],[Ende]]-November[[#This Row],[Beginn]]-November[[#This Row],[Pause]]-November[[#This Row],[Berechnungshilfe1]])</f>
        <v>#REF!</v>
      </c>
    </row>
    <row r="14" spans="1:15" ht="12.95" customHeight="1" x14ac:dyDescent="0.2">
      <c r="A14" s="53">
        <f t="shared" si="1"/>
        <v>43775</v>
      </c>
      <c r="B14" s="30">
        <v>0</v>
      </c>
      <c r="C14" s="30">
        <v>0</v>
      </c>
      <c r="D14" s="47">
        <f t="shared" si="0"/>
        <v>0</v>
      </c>
      <c r="E14" s="31">
        <f>November[[#This Row],[Ende]]-November[[#This Row],[Beginn]]-November[[#This Row],[Pause]]</f>
        <v>0</v>
      </c>
      <c r="F14" s="33">
        <f>$F$6+SUM($E$8:November[[#This Row],[Arbeitszeit]])</f>
        <v>-16.666666666666664</v>
      </c>
      <c r="G14" s="32"/>
      <c r="H14" s="35" t="e">
        <f>IF(ISNUMBER(MATCH(November[[#This Row],[Bemerkung]],Setup!$X$73:$X$86,0)),0,VLOOKUP(WEEKDAY(A14,2),Wochenzeiten[],3,0))</f>
        <v>#REF!</v>
      </c>
      <c r="I14" s="35" t="e">
        <f>IF(ISNUMBER(LOOKUP(November[[#This Row],[Bemerkung]],Setup!$X$71:$X79)),0,November[[#This Row],[Ende]]-November[[#This Row],[Beginn]]-November[[#This Row],[Pause]]-November[[#This Row],[Berechnungshilfe1]])</f>
        <v>#REF!</v>
      </c>
    </row>
    <row r="15" spans="1:15" ht="12.95" customHeight="1" x14ac:dyDescent="0.2">
      <c r="A15" s="53">
        <f t="shared" si="1"/>
        <v>43776</v>
      </c>
      <c r="B15" s="30">
        <v>0</v>
      </c>
      <c r="C15" s="30">
        <v>0</v>
      </c>
      <c r="D15" s="47">
        <f t="shared" si="0"/>
        <v>0</v>
      </c>
      <c r="E15" s="31">
        <f>November[[#This Row],[Ende]]-November[[#This Row],[Beginn]]-November[[#This Row],[Pause]]</f>
        <v>0</v>
      </c>
      <c r="F15" s="33">
        <f>$F$6+SUM($E$8:November[[#This Row],[Arbeitszeit]])</f>
        <v>-16.666666666666664</v>
      </c>
      <c r="G15" s="32"/>
      <c r="H15" s="35" t="e">
        <f>IF(ISNUMBER(MATCH(November[[#This Row],[Bemerkung]],Setup!$X$73:$X$86,0)),0,VLOOKUP(WEEKDAY(A15,2),Wochenzeiten[],3,0))</f>
        <v>#REF!</v>
      </c>
      <c r="I15" s="35" t="e">
        <f>IF(ISNUMBER(LOOKUP(November[[#This Row],[Bemerkung]],Setup!$X$71:$X80)),0,November[[#This Row],[Ende]]-November[[#This Row],[Beginn]]-November[[#This Row],[Pause]]-November[[#This Row],[Berechnungshilfe1]])</f>
        <v>#REF!</v>
      </c>
    </row>
    <row r="16" spans="1:15" ht="12.95" customHeight="1" x14ac:dyDescent="0.2">
      <c r="A16" s="53">
        <f t="shared" si="1"/>
        <v>43777</v>
      </c>
      <c r="B16" s="30">
        <v>0</v>
      </c>
      <c r="C16" s="30">
        <v>0</v>
      </c>
      <c r="D16" s="47">
        <f t="shared" si="0"/>
        <v>0</v>
      </c>
      <c r="E16" s="31">
        <f>November[[#This Row],[Ende]]-November[[#This Row],[Beginn]]-November[[#This Row],[Pause]]</f>
        <v>0</v>
      </c>
      <c r="F16" s="33">
        <f>$F$6+SUM($E$8:November[[#This Row],[Arbeitszeit]])</f>
        <v>-16.666666666666664</v>
      </c>
      <c r="G16" s="32"/>
      <c r="H16" s="35" t="e">
        <f>IF(ISNUMBER(MATCH(November[[#This Row],[Bemerkung]],Setup!$X$73:$X$86,0)),0,VLOOKUP(WEEKDAY(A16,2),Wochenzeiten[],3,0))</f>
        <v>#REF!</v>
      </c>
      <c r="I16" s="35" t="e">
        <f>IF(ISNUMBER(LOOKUP(November[[#This Row],[Bemerkung]],Setup!$X$71:$X81)),0,November[[#This Row],[Ende]]-November[[#This Row],[Beginn]]-November[[#This Row],[Pause]]-November[[#This Row],[Berechnungshilfe1]])</f>
        <v>#REF!</v>
      </c>
    </row>
    <row r="17" spans="1:9" ht="12.95" customHeight="1" x14ac:dyDescent="0.2">
      <c r="A17" s="53">
        <f t="shared" si="1"/>
        <v>43778</v>
      </c>
      <c r="B17" s="30">
        <v>0</v>
      </c>
      <c r="C17" s="30">
        <v>0</v>
      </c>
      <c r="D17" s="47">
        <f t="shared" si="0"/>
        <v>0</v>
      </c>
      <c r="E17" s="31">
        <f>November[[#This Row],[Ende]]-November[[#This Row],[Beginn]]-November[[#This Row],[Pause]]</f>
        <v>0</v>
      </c>
      <c r="F17" s="33">
        <f>$F$6+SUM($E$8:November[[#This Row],[Arbeitszeit]])</f>
        <v>-16.666666666666664</v>
      </c>
      <c r="G17" s="32"/>
      <c r="H17" s="35" t="e">
        <f>IF(ISNUMBER(MATCH(November[[#This Row],[Bemerkung]],Setup!$X$73:$X$86,0)),0,VLOOKUP(WEEKDAY(A17,2),Wochenzeiten[],3,0))</f>
        <v>#REF!</v>
      </c>
      <c r="I17" s="35" t="e">
        <f>IF(ISNUMBER(LOOKUP(November[[#This Row],[Bemerkung]],Setup!$X$71:$X82)),0,November[[#This Row],[Ende]]-November[[#This Row],[Beginn]]-November[[#This Row],[Pause]]-November[[#This Row],[Berechnungshilfe1]])</f>
        <v>#REF!</v>
      </c>
    </row>
    <row r="18" spans="1:9" ht="12.95" customHeight="1" x14ac:dyDescent="0.2">
      <c r="A18" s="53">
        <f t="shared" si="1"/>
        <v>43779</v>
      </c>
      <c r="B18" s="30">
        <v>0</v>
      </c>
      <c r="C18" s="30">
        <v>0</v>
      </c>
      <c r="D18" s="47">
        <f t="shared" si="0"/>
        <v>0</v>
      </c>
      <c r="E18" s="31">
        <f>November[[#This Row],[Ende]]-November[[#This Row],[Beginn]]-November[[#This Row],[Pause]]</f>
        <v>0</v>
      </c>
      <c r="F18" s="33">
        <f>$F$6+SUM($E$8:November[[#This Row],[Arbeitszeit]])</f>
        <v>-16.666666666666664</v>
      </c>
      <c r="G18" s="32"/>
      <c r="H18" s="35" t="e">
        <f>IF(ISNUMBER(MATCH(November[[#This Row],[Bemerkung]],Setup!$X$73:$X$86,0)),0,VLOOKUP(WEEKDAY(A18,2),Wochenzeiten[],3,0))</f>
        <v>#REF!</v>
      </c>
      <c r="I18" s="35" t="e">
        <f>IF(ISNUMBER(LOOKUP(November[[#This Row],[Bemerkung]],Setup!$X$71:$X83)),0,November[[#This Row],[Ende]]-November[[#This Row],[Beginn]]-November[[#This Row],[Pause]]-November[[#This Row],[Berechnungshilfe1]])</f>
        <v>#REF!</v>
      </c>
    </row>
    <row r="19" spans="1:9" ht="12.95" customHeight="1" x14ac:dyDescent="0.2">
      <c r="A19" s="53">
        <f t="shared" si="1"/>
        <v>43780</v>
      </c>
      <c r="B19" s="30">
        <v>0</v>
      </c>
      <c r="C19" s="30">
        <v>0</v>
      </c>
      <c r="D19" s="47">
        <f t="shared" si="0"/>
        <v>0</v>
      </c>
      <c r="E19" s="31">
        <f>November[[#This Row],[Ende]]-November[[#This Row],[Beginn]]-November[[#This Row],[Pause]]</f>
        <v>0</v>
      </c>
      <c r="F19" s="33">
        <f>$F$6+SUM($E$8:November[[#This Row],[Arbeitszeit]])</f>
        <v>-16.666666666666664</v>
      </c>
      <c r="G19" s="32"/>
      <c r="H19" s="35" t="e">
        <f>IF(ISNUMBER(MATCH(November[[#This Row],[Bemerkung]],Setup!$X$73:$X$86,0)),0,VLOOKUP(WEEKDAY(A19,2),Wochenzeiten[],3,0))</f>
        <v>#REF!</v>
      </c>
      <c r="I19" s="35" t="e">
        <f>IF(ISNUMBER(LOOKUP(November[[#This Row],[Bemerkung]],Setup!$X$71:$X84)),0,November[[#This Row],[Ende]]-November[[#This Row],[Beginn]]-November[[#This Row],[Pause]]-November[[#This Row],[Berechnungshilfe1]])</f>
        <v>#REF!</v>
      </c>
    </row>
    <row r="20" spans="1:9" ht="12.95" customHeight="1" x14ac:dyDescent="0.2">
      <c r="A20" s="53">
        <f t="shared" si="1"/>
        <v>43781</v>
      </c>
      <c r="B20" s="30">
        <v>0</v>
      </c>
      <c r="C20" s="30">
        <v>0</v>
      </c>
      <c r="D20" s="47">
        <f t="shared" si="0"/>
        <v>0</v>
      </c>
      <c r="E20" s="31">
        <f>November[[#This Row],[Ende]]-November[[#This Row],[Beginn]]-November[[#This Row],[Pause]]</f>
        <v>0</v>
      </c>
      <c r="F20" s="33">
        <f>$F$6+SUM($E$8:November[[#This Row],[Arbeitszeit]])</f>
        <v>-16.666666666666664</v>
      </c>
      <c r="G20" s="32"/>
      <c r="H20" s="35" t="e">
        <f>IF(ISNUMBER(MATCH(November[[#This Row],[Bemerkung]],Setup!$X$73:$X$86,0)),0,VLOOKUP(WEEKDAY(A20,2),Wochenzeiten[],3,0))</f>
        <v>#REF!</v>
      </c>
      <c r="I20" s="35" t="e">
        <f>IF(ISNUMBER(LOOKUP(November[[#This Row],[Bemerkung]],Setup!$X$71:$X85)),0,November[[#This Row],[Ende]]-November[[#This Row],[Beginn]]-November[[#This Row],[Pause]]-November[[#This Row],[Berechnungshilfe1]])</f>
        <v>#REF!</v>
      </c>
    </row>
    <row r="21" spans="1:9" ht="12.95" customHeight="1" x14ac:dyDescent="0.2">
      <c r="A21" s="53">
        <f t="shared" si="1"/>
        <v>43782</v>
      </c>
      <c r="B21" s="30">
        <v>0</v>
      </c>
      <c r="C21" s="30">
        <v>0</v>
      </c>
      <c r="D21" s="47">
        <f t="shared" si="0"/>
        <v>0</v>
      </c>
      <c r="E21" s="31">
        <f>November[[#This Row],[Ende]]-November[[#This Row],[Beginn]]-November[[#This Row],[Pause]]</f>
        <v>0</v>
      </c>
      <c r="F21" s="33">
        <f>$F$6+SUM($E$8:November[[#This Row],[Arbeitszeit]])</f>
        <v>-16.666666666666664</v>
      </c>
      <c r="G21" s="32"/>
      <c r="H21" s="35" t="e">
        <f>IF(ISNUMBER(MATCH(November[[#This Row],[Bemerkung]],Setup!$X$73:$X$86,0)),0,VLOOKUP(WEEKDAY(A21,2),Wochenzeiten[],3,0))</f>
        <v>#REF!</v>
      </c>
      <c r="I21" s="35" t="e">
        <f>IF(ISNUMBER(LOOKUP(November[[#This Row],[Bemerkung]],Setup!$X$71:$X86)),0,November[[#This Row],[Ende]]-November[[#This Row],[Beginn]]-November[[#This Row],[Pause]]-November[[#This Row],[Berechnungshilfe1]])</f>
        <v>#REF!</v>
      </c>
    </row>
    <row r="22" spans="1:9" ht="12.95" customHeight="1" x14ac:dyDescent="0.2">
      <c r="A22" s="53">
        <f t="shared" si="1"/>
        <v>43783</v>
      </c>
      <c r="B22" s="30">
        <v>0</v>
      </c>
      <c r="C22" s="30">
        <v>0</v>
      </c>
      <c r="D22" s="47">
        <f t="shared" si="0"/>
        <v>0</v>
      </c>
      <c r="E22" s="31">
        <f>November[[#This Row],[Ende]]-November[[#This Row],[Beginn]]-November[[#This Row],[Pause]]</f>
        <v>0</v>
      </c>
      <c r="F22" s="33">
        <f>$F$6+SUM($E$8:November[[#This Row],[Arbeitszeit]])</f>
        <v>-16.666666666666664</v>
      </c>
      <c r="G22" s="32"/>
      <c r="H22" s="35" t="e">
        <f>IF(ISNUMBER(MATCH(November[[#This Row],[Bemerkung]],Setup!$X$73:$X$86,0)),0,VLOOKUP(WEEKDAY(A22,2),Wochenzeiten[],3,0))</f>
        <v>#REF!</v>
      </c>
      <c r="I22" s="35" t="e">
        <f>IF(ISNUMBER(LOOKUP(November[[#This Row],[Bemerkung]],Setup!$X$71:$X87)),0,November[[#This Row],[Ende]]-November[[#This Row],[Beginn]]-November[[#This Row],[Pause]]-November[[#This Row],[Berechnungshilfe1]])</f>
        <v>#REF!</v>
      </c>
    </row>
    <row r="23" spans="1:9" ht="12.95" customHeight="1" x14ac:dyDescent="0.2">
      <c r="A23" s="53">
        <f t="shared" si="1"/>
        <v>43784</v>
      </c>
      <c r="B23" s="30">
        <v>0</v>
      </c>
      <c r="C23" s="30">
        <v>0</v>
      </c>
      <c r="D23" s="47">
        <f t="shared" si="0"/>
        <v>0</v>
      </c>
      <c r="E23" s="31">
        <f>November[[#This Row],[Ende]]-November[[#This Row],[Beginn]]-November[[#This Row],[Pause]]</f>
        <v>0</v>
      </c>
      <c r="F23" s="33">
        <f>$F$6+SUM($E$8:November[[#This Row],[Arbeitszeit]])</f>
        <v>-16.666666666666664</v>
      </c>
      <c r="G23" s="32"/>
      <c r="H23" s="35" t="e">
        <f>IF(ISNUMBER(MATCH(November[[#This Row],[Bemerkung]],Setup!$X$73:$X$86,0)),0,VLOOKUP(WEEKDAY(A23,2),Wochenzeiten[],3,0))</f>
        <v>#REF!</v>
      </c>
      <c r="I23" s="35" t="e">
        <f>IF(ISNUMBER(LOOKUP(November[[#This Row],[Bemerkung]],Setup!$X$71:$X87)),0,November[[#This Row],[Ende]]-November[[#This Row],[Beginn]]-November[[#This Row],[Pause]]-November[[#This Row],[Berechnungshilfe1]])</f>
        <v>#REF!</v>
      </c>
    </row>
    <row r="24" spans="1:9" ht="12.95" customHeight="1" x14ac:dyDescent="0.2">
      <c r="A24" s="53">
        <f t="shared" si="1"/>
        <v>43785</v>
      </c>
      <c r="B24" s="30">
        <v>0</v>
      </c>
      <c r="C24" s="30">
        <v>0</v>
      </c>
      <c r="D24" s="47">
        <f t="shared" si="0"/>
        <v>0</v>
      </c>
      <c r="E24" s="31">
        <f>November[[#This Row],[Ende]]-November[[#This Row],[Beginn]]-November[[#This Row],[Pause]]</f>
        <v>0</v>
      </c>
      <c r="F24" s="33">
        <f>$F$6+SUM($E$8:November[[#This Row],[Arbeitszeit]])</f>
        <v>-16.666666666666664</v>
      </c>
      <c r="G24" s="32"/>
      <c r="H24" s="35" t="e">
        <f>IF(ISNUMBER(MATCH(November[[#This Row],[Bemerkung]],Setup!$X$73:$X$86,0)),0,VLOOKUP(WEEKDAY(A24,2),Wochenzeiten[],3,0))</f>
        <v>#REF!</v>
      </c>
      <c r="I24" s="35" t="e">
        <f>IF(ISNUMBER(LOOKUP(November[[#This Row],[Bemerkung]],Setup!$X$71:$X88)),0,November[[#This Row],[Ende]]-November[[#This Row],[Beginn]]-November[[#This Row],[Pause]]-November[[#This Row],[Berechnungshilfe1]])</f>
        <v>#REF!</v>
      </c>
    </row>
    <row r="25" spans="1:9" ht="12.95" customHeight="1" x14ac:dyDescent="0.2">
      <c r="A25" s="53">
        <f t="shared" si="1"/>
        <v>43786</v>
      </c>
      <c r="B25" s="30">
        <v>0</v>
      </c>
      <c r="C25" s="30">
        <v>0</v>
      </c>
      <c r="D25" s="47">
        <f t="shared" si="0"/>
        <v>0</v>
      </c>
      <c r="E25" s="31">
        <f>November[[#This Row],[Ende]]-November[[#This Row],[Beginn]]-November[[#This Row],[Pause]]</f>
        <v>0</v>
      </c>
      <c r="F25" s="33">
        <f>$F$6+SUM($E$8:November[[#This Row],[Arbeitszeit]])</f>
        <v>-16.666666666666664</v>
      </c>
      <c r="G25" s="32"/>
      <c r="H25" s="35" t="e">
        <f>IF(ISNUMBER(MATCH(November[[#This Row],[Bemerkung]],Setup!$X$73:$X$86,0)),0,VLOOKUP(WEEKDAY(A25,2),Wochenzeiten[],3,0))</f>
        <v>#REF!</v>
      </c>
      <c r="I25" s="35" t="e">
        <f>IF(ISNUMBER(LOOKUP(November[[#This Row],[Bemerkung]],Setup!$X$71:$X89)),0,November[[#This Row],[Ende]]-November[[#This Row],[Beginn]]-November[[#This Row],[Pause]]-November[[#This Row],[Berechnungshilfe1]])</f>
        <v>#REF!</v>
      </c>
    </row>
    <row r="26" spans="1:9" ht="12.95" customHeight="1" x14ac:dyDescent="0.2">
      <c r="A26" s="53">
        <f t="shared" si="1"/>
        <v>43787</v>
      </c>
      <c r="B26" s="30">
        <v>0</v>
      </c>
      <c r="C26" s="30">
        <v>0</v>
      </c>
      <c r="D26" s="47">
        <f t="shared" si="0"/>
        <v>0</v>
      </c>
      <c r="E26" s="31">
        <f>November[[#This Row],[Ende]]-November[[#This Row],[Beginn]]-November[[#This Row],[Pause]]</f>
        <v>0</v>
      </c>
      <c r="F26" s="33">
        <f>$F$6+SUM($E$8:November[[#This Row],[Arbeitszeit]])</f>
        <v>-16.666666666666664</v>
      </c>
      <c r="G26" s="32"/>
      <c r="H26" s="35" t="e">
        <f>IF(ISNUMBER(MATCH(November[[#This Row],[Bemerkung]],Setup!$X$73:$X$86,0)),0,VLOOKUP(WEEKDAY(A26,2),Wochenzeiten[],3,0))</f>
        <v>#REF!</v>
      </c>
      <c r="I26" s="35" t="e">
        <f>IF(ISNUMBER(LOOKUP(November[[#This Row],[Bemerkung]],Setup!$X$71:$X90)),0,November[[#This Row],[Ende]]-November[[#This Row],[Beginn]]-November[[#This Row],[Pause]]-November[[#This Row],[Berechnungshilfe1]])</f>
        <v>#REF!</v>
      </c>
    </row>
    <row r="27" spans="1:9" ht="12.95" customHeight="1" x14ac:dyDescent="0.2">
      <c r="A27" s="53">
        <f t="shared" si="1"/>
        <v>43788</v>
      </c>
      <c r="B27" s="30">
        <v>0</v>
      </c>
      <c r="C27" s="30">
        <v>0</v>
      </c>
      <c r="D27" s="47">
        <f t="shared" si="0"/>
        <v>0</v>
      </c>
      <c r="E27" s="31">
        <f>November[[#This Row],[Ende]]-November[[#This Row],[Beginn]]-November[[#This Row],[Pause]]</f>
        <v>0</v>
      </c>
      <c r="F27" s="33">
        <f>$F$6+SUM($E$8:November[[#This Row],[Arbeitszeit]])</f>
        <v>-16.666666666666664</v>
      </c>
      <c r="G27" s="32"/>
      <c r="H27" s="35" t="e">
        <f>IF(ISNUMBER(MATCH(November[[#This Row],[Bemerkung]],Setup!$X$73:$X$86,0)),0,VLOOKUP(WEEKDAY(A27,2),Wochenzeiten[],3,0))</f>
        <v>#REF!</v>
      </c>
      <c r="I27" s="35" t="e">
        <f>IF(ISNUMBER(LOOKUP(November[[#This Row],[Bemerkung]],Setup!$X$71:$X91)),0,November[[#This Row],[Ende]]-November[[#This Row],[Beginn]]-November[[#This Row],[Pause]]-November[[#This Row],[Berechnungshilfe1]])</f>
        <v>#REF!</v>
      </c>
    </row>
    <row r="28" spans="1:9" ht="12.95" customHeight="1" x14ac:dyDescent="0.2">
      <c r="A28" s="53">
        <f t="shared" si="1"/>
        <v>43789</v>
      </c>
      <c r="B28" s="30">
        <v>0</v>
      </c>
      <c r="C28" s="30">
        <v>0</v>
      </c>
      <c r="D28" s="47">
        <f t="shared" si="0"/>
        <v>0</v>
      </c>
      <c r="E28" s="31">
        <f>November[[#This Row],[Ende]]-November[[#This Row],[Beginn]]-November[[#This Row],[Pause]]</f>
        <v>0</v>
      </c>
      <c r="F28" s="33">
        <f>$F$6+SUM($E$8:November[[#This Row],[Arbeitszeit]])</f>
        <v>-16.666666666666664</v>
      </c>
      <c r="G28" s="32"/>
      <c r="H28" s="35" t="e">
        <f>IF(ISNUMBER(MATCH(November[[#This Row],[Bemerkung]],Setup!$X$73:$X$86,0)),0,VLOOKUP(WEEKDAY(A28,2),Wochenzeiten[],3,0))</f>
        <v>#REF!</v>
      </c>
      <c r="I28" s="35" t="e">
        <f>IF(ISNUMBER(LOOKUP(November[[#This Row],[Bemerkung]],Setup!$X$71:$X92)),0,November[[#This Row],[Ende]]-November[[#This Row],[Beginn]]-November[[#This Row],[Pause]]-November[[#This Row],[Berechnungshilfe1]])</f>
        <v>#REF!</v>
      </c>
    </row>
    <row r="29" spans="1:9" ht="12.95" customHeight="1" x14ac:dyDescent="0.2">
      <c r="A29" s="53">
        <f t="shared" si="1"/>
        <v>43790</v>
      </c>
      <c r="B29" s="30">
        <v>0</v>
      </c>
      <c r="C29" s="30">
        <v>0</v>
      </c>
      <c r="D29" s="47">
        <f t="shared" si="0"/>
        <v>0</v>
      </c>
      <c r="E29" s="31">
        <f>November[[#This Row],[Ende]]-November[[#This Row],[Beginn]]-November[[#This Row],[Pause]]</f>
        <v>0</v>
      </c>
      <c r="F29" s="33">
        <f>$F$6+SUM($E$8:November[[#This Row],[Arbeitszeit]])</f>
        <v>-16.666666666666664</v>
      </c>
      <c r="G29" s="32"/>
      <c r="H29" s="35" t="e">
        <f>IF(ISNUMBER(MATCH(November[[#This Row],[Bemerkung]],Setup!$X$73:$X$86,0)),0,VLOOKUP(WEEKDAY(A29,2),Wochenzeiten[],3,0))</f>
        <v>#REF!</v>
      </c>
      <c r="I29" s="35" t="e">
        <f>IF(ISNUMBER(LOOKUP(November[[#This Row],[Bemerkung]],Setup!$X$71:$X93)),0,November[[#This Row],[Ende]]-November[[#This Row],[Beginn]]-November[[#This Row],[Pause]]-November[[#This Row],[Berechnungshilfe1]])</f>
        <v>#REF!</v>
      </c>
    </row>
    <row r="30" spans="1:9" ht="12.95" customHeight="1" x14ac:dyDescent="0.2">
      <c r="A30" s="53">
        <f t="shared" si="1"/>
        <v>43791</v>
      </c>
      <c r="B30" s="30">
        <v>0</v>
      </c>
      <c r="C30" s="30">
        <v>0</v>
      </c>
      <c r="D30" s="47">
        <f t="shared" si="0"/>
        <v>0</v>
      </c>
      <c r="E30" s="31">
        <f>November[[#This Row],[Ende]]-November[[#This Row],[Beginn]]-November[[#This Row],[Pause]]</f>
        <v>0</v>
      </c>
      <c r="F30" s="33">
        <f>$F$6+SUM($E$8:November[[#This Row],[Arbeitszeit]])</f>
        <v>-16.666666666666664</v>
      </c>
      <c r="G30" s="32"/>
      <c r="H30" s="35" t="e">
        <f>IF(ISNUMBER(MATCH(November[[#This Row],[Bemerkung]],Setup!$X$73:$X$86,0)),0,VLOOKUP(WEEKDAY(A30,2),Wochenzeiten[],3,0))</f>
        <v>#REF!</v>
      </c>
      <c r="I30" s="35" t="e">
        <f>IF(ISNUMBER(LOOKUP(November[[#This Row],[Bemerkung]],Setup!$X$71:$X94)),0,November[[#This Row],[Ende]]-November[[#This Row],[Beginn]]-November[[#This Row],[Pause]]-November[[#This Row],[Berechnungshilfe1]])</f>
        <v>#REF!</v>
      </c>
    </row>
    <row r="31" spans="1:9" ht="12.95" customHeight="1" x14ac:dyDescent="0.2">
      <c r="A31" s="53">
        <f t="shared" si="1"/>
        <v>43792</v>
      </c>
      <c r="B31" s="30">
        <v>0</v>
      </c>
      <c r="C31" s="30">
        <v>0</v>
      </c>
      <c r="D31" s="47">
        <f t="shared" si="0"/>
        <v>0</v>
      </c>
      <c r="E31" s="31">
        <f>November[[#This Row],[Ende]]-November[[#This Row],[Beginn]]-November[[#This Row],[Pause]]</f>
        <v>0</v>
      </c>
      <c r="F31" s="33">
        <f>$F$6+SUM($E$8:November[[#This Row],[Arbeitszeit]])</f>
        <v>-16.666666666666664</v>
      </c>
      <c r="G31" s="32"/>
      <c r="H31" s="35" t="e">
        <f>IF(ISNUMBER(MATCH(November[[#This Row],[Bemerkung]],Setup!$X$73:$X$86,0)),0,VLOOKUP(WEEKDAY(A31,2),Wochenzeiten[],3,0))</f>
        <v>#REF!</v>
      </c>
      <c r="I31" s="35" t="e">
        <f>IF(ISNUMBER(LOOKUP(November[[#This Row],[Bemerkung]],Setup!$X$71:$X95)),0,November[[#This Row],[Ende]]-November[[#This Row],[Beginn]]-November[[#This Row],[Pause]]-November[[#This Row],[Berechnungshilfe1]])</f>
        <v>#REF!</v>
      </c>
    </row>
    <row r="32" spans="1:9" ht="12.95" customHeight="1" x14ac:dyDescent="0.2">
      <c r="A32" s="53">
        <f t="shared" si="1"/>
        <v>43793</v>
      </c>
      <c r="B32" s="30">
        <v>0</v>
      </c>
      <c r="C32" s="30">
        <v>0</v>
      </c>
      <c r="D32" s="47">
        <f t="shared" si="0"/>
        <v>0</v>
      </c>
      <c r="E32" s="31">
        <f>November[[#This Row],[Ende]]-November[[#This Row],[Beginn]]-November[[#This Row],[Pause]]</f>
        <v>0</v>
      </c>
      <c r="F32" s="33">
        <f>$F$6+SUM($E$8:November[[#This Row],[Arbeitszeit]])</f>
        <v>-16.666666666666664</v>
      </c>
      <c r="G32" s="32"/>
      <c r="H32" s="35" t="e">
        <f>IF(ISNUMBER(MATCH(November[[#This Row],[Bemerkung]],Setup!$X$73:$X$86,0)),0,VLOOKUP(WEEKDAY(A32,2),Wochenzeiten[],3,0))</f>
        <v>#REF!</v>
      </c>
      <c r="I32" s="35" t="e">
        <f>IF(ISNUMBER(LOOKUP(November[[#This Row],[Bemerkung]],Setup!$X$71:$X96)),0,November[[#This Row],[Ende]]-November[[#This Row],[Beginn]]-November[[#This Row],[Pause]]-November[[#This Row],[Berechnungshilfe1]])</f>
        <v>#REF!</v>
      </c>
    </row>
    <row r="33" spans="1:9" ht="12.95" customHeight="1" x14ac:dyDescent="0.2">
      <c r="A33" s="53">
        <f t="shared" si="1"/>
        <v>43794</v>
      </c>
      <c r="B33" s="30">
        <v>0</v>
      </c>
      <c r="C33" s="30">
        <v>0</v>
      </c>
      <c r="D33" s="47">
        <f t="shared" si="0"/>
        <v>0</v>
      </c>
      <c r="E33" s="31">
        <f>November[[#This Row],[Ende]]-November[[#This Row],[Beginn]]-November[[#This Row],[Pause]]</f>
        <v>0</v>
      </c>
      <c r="F33" s="33">
        <f>$F$6+SUM($E$8:November[[#This Row],[Arbeitszeit]])</f>
        <v>-16.666666666666664</v>
      </c>
      <c r="G33" s="32"/>
      <c r="H33" s="35" t="e">
        <f>IF(ISNUMBER(MATCH(November[[#This Row],[Bemerkung]],Setup!$X$73:$X$86,0)),0,VLOOKUP(WEEKDAY(A33,2),Wochenzeiten[],3,0))</f>
        <v>#REF!</v>
      </c>
      <c r="I33" s="35" t="e">
        <f>IF(ISNUMBER(LOOKUP(November[[#This Row],[Bemerkung]],Setup!$X$71:$X97)),0,November[[#This Row],[Ende]]-November[[#This Row],[Beginn]]-November[[#This Row],[Pause]]-November[[#This Row],[Berechnungshilfe1]])</f>
        <v>#REF!</v>
      </c>
    </row>
    <row r="34" spans="1:9" ht="12.95" customHeight="1" x14ac:dyDescent="0.2">
      <c r="A34" s="53">
        <f t="shared" si="1"/>
        <v>43795</v>
      </c>
      <c r="B34" s="30">
        <v>0</v>
      </c>
      <c r="C34" s="30">
        <v>0</v>
      </c>
      <c r="D34" s="47">
        <f t="shared" si="0"/>
        <v>0</v>
      </c>
      <c r="E34" s="31">
        <f>November[[#This Row],[Ende]]-November[[#This Row],[Beginn]]-November[[#This Row],[Pause]]</f>
        <v>0</v>
      </c>
      <c r="F34" s="33">
        <f>$F$6+SUM($E$8:November[[#This Row],[Arbeitszeit]])</f>
        <v>-16.666666666666664</v>
      </c>
      <c r="G34" s="32"/>
      <c r="H34" s="35" t="e">
        <f>IF(ISNUMBER(MATCH(November[[#This Row],[Bemerkung]],Setup!$X$73:$X$86,0)),0,VLOOKUP(WEEKDAY(A34,2),Wochenzeiten[],3,0))</f>
        <v>#REF!</v>
      </c>
      <c r="I34" s="35" t="e">
        <f>IF(ISNUMBER(LOOKUP(November[[#This Row],[Bemerkung]],Setup!$X$71:$X98)),0,November[[#This Row],[Ende]]-November[[#This Row],[Beginn]]-November[[#This Row],[Pause]]-November[[#This Row],[Berechnungshilfe1]])</f>
        <v>#REF!</v>
      </c>
    </row>
    <row r="35" spans="1:9" ht="12.75" customHeight="1" x14ac:dyDescent="0.2">
      <c r="A35" s="53">
        <f t="shared" si="1"/>
        <v>43796</v>
      </c>
      <c r="B35" s="30">
        <v>0</v>
      </c>
      <c r="C35" s="30">
        <v>0</v>
      </c>
      <c r="D35" s="47">
        <f t="shared" si="0"/>
        <v>0</v>
      </c>
      <c r="E35" s="31">
        <f>November[[#This Row],[Ende]]-November[[#This Row],[Beginn]]-November[[#This Row],[Pause]]</f>
        <v>0</v>
      </c>
      <c r="F35" s="33">
        <f>$F$6+SUM($E$8:November[[#This Row],[Arbeitszeit]])</f>
        <v>-16.666666666666664</v>
      </c>
      <c r="G35" s="32"/>
      <c r="H35" s="35" t="e">
        <f>IF(ISNUMBER(MATCH(November[[#This Row],[Bemerkung]],Setup!$X$73:$X$86,0)),0,VLOOKUP(WEEKDAY(A35,2),Wochenzeiten[],3,0))</f>
        <v>#REF!</v>
      </c>
      <c r="I35" s="35" t="e">
        <f>IF(ISNUMBER(LOOKUP(November[[#This Row],[Bemerkung]],Setup!$X$71:$X99)),0,November[[#This Row],[Ende]]-November[[#This Row],[Beginn]]-November[[#This Row],[Pause]]-November[[#This Row],[Berechnungshilfe1]])</f>
        <v>#REF!</v>
      </c>
    </row>
    <row r="36" spans="1:9" ht="12.75" customHeight="1" x14ac:dyDescent="0.2">
      <c r="A36" s="53">
        <f t="shared" si="1"/>
        <v>43797</v>
      </c>
      <c r="B36" s="30">
        <v>0</v>
      </c>
      <c r="C36" s="30">
        <v>0</v>
      </c>
      <c r="D36" s="47">
        <f t="shared" si="0"/>
        <v>0</v>
      </c>
      <c r="E36" s="31">
        <f>November[[#This Row],[Ende]]-November[[#This Row],[Beginn]]-November[[#This Row],[Pause]]</f>
        <v>0</v>
      </c>
      <c r="F36" s="33">
        <f>$F$6+SUM($E$8:November[[#This Row],[Arbeitszeit]])</f>
        <v>-16.666666666666664</v>
      </c>
      <c r="G36" s="32"/>
      <c r="H36" s="35" t="e">
        <f>IF(ISNUMBER(MATCH(November[[#This Row],[Bemerkung]],Setup!$X$73:$X$86,0)),0,VLOOKUP(WEEKDAY(A36,2),Wochenzeiten[],3,0))</f>
        <v>#REF!</v>
      </c>
      <c r="I36" s="35" t="e">
        <f>IF(ISNUMBER(LOOKUP(November[[#This Row],[Bemerkung]],Setup!$X$71:$X100)),0,November[[#This Row],[Ende]]-November[[#This Row],[Beginn]]-November[[#This Row],[Pause]]-November[[#This Row],[Berechnungshilfe1]])</f>
        <v>#REF!</v>
      </c>
    </row>
    <row r="37" spans="1:9" ht="12.75" customHeight="1" x14ac:dyDescent="0.2">
      <c r="A37" s="53">
        <f t="shared" si="1"/>
        <v>43798</v>
      </c>
      <c r="B37" s="30">
        <v>0</v>
      </c>
      <c r="C37" s="30">
        <v>0</v>
      </c>
      <c r="D37" s="47">
        <f t="shared" si="0"/>
        <v>0</v>
      </c>
      <c r="E37" s="31">
        <f>November[[#This Row],[Ende]]-November[[#This Row],[Beginn]]-November[[#This Row],[Pause]]</f>
        <v>0</v>
      </c>
      <c r="F37" s="33">
        <f>$F$6+SUM($E$8:November[[#This Row],[Arbeitszeit]])</f>
        <v>-16.666666666666664</v>
      </c>
      <c r="G37" s="32"/>
      <c r="H37" s="35" t="e">
        <f>IF(ISNUMBER(MATCH(November[[#This Row],[Bemerkung]],Setup!$X$73:$X$86,0)),0,VLOOKUP(WEEKDAY(A37,2),Wochenzeiten[],3,0))</f>
        <v>#REF!</v>
      </c>
      <c r="I37" s="35" t="e">
        <f>IF(ISNUMBER(LOOKUP(November[[#This Row],[Bemerkung]],Setup!$X$71:$X101)),0,November[[#This Row],[Ende]]-November[[#This Row],[Beginn]]-November[[#This Row],[Pause]]-November[[#This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SUM(November[Arbeitszeit])+$F$6-E46</f>
        <v>-18.333333333333332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3" priority="1">
      <formula>WEEKDAY($A8,2)&gt;5</formula>
    </cfRule>
    <cfRule type="cellIs" dxfId="2" priority="2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DATE(Setup!C13,12,1)</f>
        <v>43799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November!F38</f>
        <v>-18.333333333333332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43799</v>
      </c>
      <c r="B8" s="30">
        <v>0</v>
      </c>
      <c r="C8" s="30">
        <v>0</v>
      </c>
      <c r="D8" s="47">
        <f t="shared" ref="D8:D38" si="0">IF((C8-B8)&lt;TIME(6,1,0),TIME(0,0,0),IF((C8-B8)&lt;TIME(9,31,0),$E$45,$E$46))</f>
        <v>0</v>
      </c>
      <c r="E8" s="31">
        <f>Dezember[[#This Row],[Ende]]-Dezember[[#This Row],[Beginn]]-Dezember[[#This Row],[Pause]]</f>
        <v>0</v>
      </c>
      <c r="F8" s="33">
        <f>$F$6+SUM($E$8:Dezember[[#This Row],[Arbeitszeit]])</f>
        <v>-18.333333333333332</v>
      </c>
      <c r="G8" s="32"/>
      <c r="H8" s="35" t="e">
        <f>IF(ISNUMBER(MATCH(Dezember[[#This Row],[Bemerkung]],Setup!$X$73:$X$86,0)),0,VLOOKUP(WEEKDAY(A8,2),Wochenzeiten[],3,0))</f>
        <v>#REF!</v>
      </c>
      <c r="I8" s="35" t="e">
        <f>IF(ISNUMBER(LOOKUP(Dezember[[#This Row],[Bemerkung]],Setup!$X$71:$X72)),0,Dezember[[#This Row],[Ende]]-Dezember[[#This Row],[Beginn]]-Dezember[[#This Row],[Pause]]-Dezember[[#This Row],[Berechnungshilfe1]])</f>
        <v>#REF!</v>
      </c>
    </row>
    <row r="9" spans="1:15" ht="12.95" customHeight="1" x14ac:dyDescent="0.2">
      <c r="A9" s="53">
        <f t="shared" ref="A9:A38" si="1">A8+1</f>
        <v>43800</v>
      </c>
      <c r="B9" s="30">
        <v>0</v>
      </c>
      <c r="C9" s="30">
        <v>0</v>
      </c>
      <c r="D9" s="47">
        <f t="shared" si="0"/>
        <v>0</v>
      </c>
      <c r="E9" s="31">
        <f>Dezember[[#This Row],[Ende]]-Dezember[[#This Row],[Beginn]]-Dezember[[#This Row],[Pause]]</f>
        <v>0</v>
      </c>
      <c r="F9" s="33">
        <f>$F$6+SUM($E$8:Dezember[[#This Row],[Arbeitszeit]])</f>
        <v>-18.333333333333332</v>
      </c>
      <c r="G9" s="32"/>
      <c r="H9" s="35" t="e">
        <f>IF(ISNUMBER(MATCH(Dezember[[#This Row],[Bemerkung]],Setup!$X$73:$X$86,0)),0,VLOOKUP(WEEKDAY(A9,2),Wochenzeiten[],3,0))</f>
        <v>#REF!</v>
      </c>
      <c r="I9" s="35" t="e">
        <f>IF(ISNUMBER(LOOKUP(Dezember[[#This Row],[Bemerkung]],Setup!$X$71:$X73)),0,Dezember[[#This Row],[Ende]]-Dezember[[#This Row],[Beginn]]-Dezember[[#This Row],[Pause]]-Dezember[[#This Row],[Berechnungshilfe1]])</f>
        <v>#REF!</v>
      </c>
    </row>
    <row r="10" spans="1:15" ht="12.95" customHeight="1" x14ac:dyDescent="0.2">
      <c r="A10" s="53">
        <f t="shared" si="1"/>
        <v>43801</v>
      </c>
      <c r="B10" s="30">
        <v>0</v>
      </c>
      <c r="C10" s="30">
        <v>0</v>
      </c>
      <c r="D10" s="47">
        <f t="shared" si="0"/>
        <v>0</v>
      </c>
      <c r="E10" s="31">
        <f>Dezember[[#This Row],[Ende]]-Dezember[[#This Row],[Beginn]]-Dezember[[#This Row],[Pause]]</f>
        <v>0</v>
      </c>
      <c r="F10" s="33">
        <f>$F$6+SUM($E$8:Dezember[[#This Row],[Arbeitszeit]])</f>
        <v>-18.333333333333332</v>
      </c>
      <c r="G10" s="34"/>
      <c r="H10" s="35" t="e">
        <f>IF(ISNUMBER(MATCH(Dezember[[#This Row],[Bemerkung]],Setup!$X$73:$X$86,0)),0,VLOOKUP(WEEKDAY(A10,2),Wochenzeiten[],3,0))</f>
        <v>#REF!</v>
      </c>
      <c r="I10" s="35" t="e">
        <f>IF(ISNUMBER(LOOKUP(Dezember[[#This Row],[Bemerkung]],Setup!$X$71:$X74)),0,Dezember[[#This Row],[Ende]]-Dezember[[#This Row],[Beginn]]-Dezember[[#This Row],[Pause]]-Dezember[[#This Row],[Berechnungshilfe1]])</f>
        <v>#REF!</v>
      </c>
    </row>
    <row r="11" spans="1:15" ht="12.95" customHeight="1" x14ac:dyDescent="0.2">
      <c r="A11" s="53">
        <f t="shared" si="1"/>
        <v>43802</v>
      </c>
      <c r="B11" s="30">
        <v>0</v>
      </c>
      <c r="C11" s="30">
        <v>0</v>
      </c>
      <c r="D11" s="47">
        <f t="shared" si="0"/>
        <v>0</v>
      </c>
      <c r="E11" s="31">
        <f>Dezember[[#This Row],[Ende]]-Dezember[[#This Row],[Beginn]]-Dezember[[#This Row],[Pause]]</f>
        <v>0</v>
      </c>
      <c r="F11" s="33">
        <f>$F$6+SUM($E$8:Dezember[[#This Row],[Arbeitszeit]])</f>
        <v>-18.333333333333332</v>
      </c>
      <c r="G11" s="32"/>
      <c r="H11" s="35" t="e">
        <f>IF(ISNUMBER(MATCH(Dezember[[#This Row],[Bemerkung]],Setup!$X$73:$X$86,0)),0,VLOOKUP(WEEKDAY(A11,2),Wochenzeiten[],3,0))</f>
        <v>#REF!</v>
      </c>
      <c r="I11" s="35" t="e">
        <f>IF(ISNUMBER(LOOKUP(Dezember[[#This Row],[Bemerkung]],Setup!$X$71:$X75)),0,Dezember[[#This Row],[Ende]]-Dezember[[#This Row],[Beginn]]-Dezember[[#This Row],[Pause]]-Dezember[[#This Row],[Berechnungshilfe1]])</f>
        <v>#REF!</v>
      </c>
    </row>
    <row r="12" spans="1:15" ht="12.95" customHeight="1" x14ac:dyDescent="0.2">
      <c r="A12" s="53">
        <f t="shared" si="1"/>
        <v>43803</v>
      </c>
      <c r="B12" s="30">
        <v>0</v>
      </c>
      <c r="C12" s="30">
        <v>0</v>
      </c>
      <c r="D12" s="47">
        <f t="shared" si="0"/>
        <v>0</v>
      </c>
      <c r="E12" s="31">
        <f>Dezember[[#This Row],[Ende]]-Dezember[[#This Row],[Beginn]]-Dezember[[#This Row],[Pause]]</f>
        <v>0</v>
      </c>
      <c r="F12" s="33">
        <f>$F$6+SUM($E$8:Dezember[[#This Row],[Arbeitszeit]])</f>
        <v>-18.333333333333332</v>
      </c>
      <c r="G12" s="32"/>
      <c r="H12" s="35" t="e">
        <f>IF(ISNUMBER(MATCH(Dezember[[#This Row],[Bemerkung]],Setup!$X$73:$X$86,0)),0,VLOOKUP(WEEKDAY(A12,2),Wochenzeiten[],3,0))</f>
        <v>#REF!</v>
      </c>
      <c r="I12" s="35" t="e">
        <f>IF(ISNUMBER(LOOKUP(Dezember[[#This Row],[Bemerkung]],Setup!$X$71:$X76)),0,Dezember[[#This Row],[Ende]]-Dezember[[#This Row],[Beginn]]-Dezember[[#This Row],[Pause]]-Dezember[[#This Row],[Berechnungshilfe1]])</f>
        <v>#REF!</v>
      </c>
    </row>
    <row r="13" spans="1:15" ht="12.95" customHeight="1" x14ac:dyDescent="0.2">
      <c r="A13" s="53">
        <f t="shared" si="1"/>
        <v>43804</v>
      </c>
      <c r="B13" s="30">
        <v>0</v>
      </c>
      <c r="C13" s="30">
        <v>0</v>
      </c>
      <c r="D13" s="47">
        <f t="shared" si="0"/>
        <v>0</v>
      </c>
      <c r="E13" s="31">
        <f>Dezember[[#This Row],[Ende]]-Dezember[[#This Row],[Beginn]]-Dezember[[#This Row],[Pause]]</f>
        <v>0</v>
      </c>
      <c r="F13" s="33">
        <f>$F$6+SUM($E$8:Dezember[[#This Row],[Arbeitszeit]])</f>
        <v>-18.333333333333332</v>
      </c>
      <c r="G13" s="34"/>
      <c r="H13" s="35" t="e">
        <f>IF(ISNUMBER(MATCH(Dezember[[#This Row],[Bemerkung]],Setup!$X$73:$X$86,0)),0,VLOOKUP(WEEKDAY(A13,2),Wochenzeiten[],3,0))</f>
        <v>#REF!</v>
      </c>
      <c r="I13" s="35" t="e">
        <f>IF(ISNUMBER(LOOKUP(Dezember[[#This Row],[Bemerkung]],Setup!$X$71:$X77)),0,Dezember[[#This Row],[Ende]]-Dezember[[#This Row],[Beginn]]-Dezember[[#This Row],[Pause]]-Dezember[[#This Row],[Berechnungshilfe1]])</f>
        <v>#REF!</v>
      </c>
    </row>
    <row r="14" spans="1:15" ht="12.95" customHeight="1" x14ac:dyDescent="0.2">
      <c r="A14" s="53">
        <f t="shared" si="1"/>
        <v>43805</v>
      </c>
      <c r="B14" s="30">
        <v>0</v>
      </c>
      <c r="C14" s="30">
        <v>0</v>
      </c>
      <c r="D14" s="47">
        <f t="shared" si="0"/>
        <v>0</v>
      </c>
      <c r="E14" s="31">
        <f>Dezember[[#This Row],[Ende]]-Dezember[[#This Row],[Beginn]]-Dezember[[#This Row],[Pause]]</f>
        <v>0</v>
      </c>
      <c r="F14" s="33">
        <f>$F$6+SUM($E$8:Dezember[[#This Row],[Arbeitszeit]])</f>
        <v>-18.333333333333332</v>
      </c>
      <c r="G14" s="32"/>
      <c r="H14" s="35" t="e">
        <f>IF(ISNUMBER(MATCH(Dezember[[#This Row],[Bemerkung]],Setup!$X$73:$X$86,0)),0,VLOOKUP(WEEKDAY(A14,2),Wochenzeiten[],3,0))</f>
        <v>#REF!</v>
      </c>
      <c r="I14" s="35" t="e">
        <f>IF(ISNUMBER(LOOKUP(Dezember[[#This Row],[Bemerkung]],Setup!$X$71:$X79)),0,Dezember[[#This Row],[Ende]]-Dezember[[#This Row],[Beginn]]-Dezember[[#This Row],[Pause]]-Dezember[[#This Row],[Berechnungshilfe1]])</f>
        <v>#REF!</v>
      </c>
    </row>
    <row r="15" spans="1:15" ht="12.95" customHeight="1" x14ac:dyDescent="0.2">
      <c r="A15" s="53">
        <f t="shared" si="1"/>
        <v>43806</v>
      </c>
      <c r="B15" s="30">
        <v>0</v>
      </c>
      <c r="C15" s="30">
        <v>0</v>
      </c>
      <c r="D15" s="47">
        <f t="shared" si="0"/>
        <v>0</v>
      </c>
      <c r="E15" s="31">
        <f>Dezember[[#This Row],[Ende]]-Dezember[[#This Row],[Beginn]]-Dezember[[#This Row],[Pause]]</f>
        <v>0</v>
      </c>
      <c r="F15" s="33">
        <f>$F$6+SUM($E$8:Dezember[[#This Row],[Arbeitszeit]])</f>
        <v>-18.333333333333332</v>
      </c>
      <c r="G15" s="32"/>
      <c r="H15" s="35" t="e">
        <f>IF(ISNUMBER(MATCH(Dezember[[#This Row],[Bemerkung]],Setup!$X$73:$X$86,0)),0,VLOOKUP(WEEKDAY(A15,2),Wochenzeiten[],3,0))</f>
        <v>#REF!</v>
      </c>
      <c r="I15" s="35" t="e">
        <f>IF(ISNUMBER(LOOKUP(Dezember[[#This Row],[Bemerkung]],Setup!$X$71:$X80)),0,Dezember[[#This Row],[Ende]]-Dezember[[#This Row],[Beginn]]-Dezember[[#This Row],[Pause]]-Dezember[[#This Row],[Berechnungshilfe1]])</f>
        <v>#REF!</v>
      </c>
    </row>
    <row r="16" spans="1:15" ht="12.95" customHeight="1" x14ac:dyDescent="0.2">
      <c r="A16" s="53">
        <f t="shared" si="1"/>
        <v>43807</v>
      </c>
      <c r="B16" s="30">
        <v>0</v>
      </c>
      <c r="C16" s="30">
        <v>0</v>
      </c>
      <c r="D16" s="47">
        <f t="shared" si="0"/>
        <v>0</v>
      </c>
      <c r="E16" s="31">
        <f>Dezember[[#This Row],[Ende]]-Dezember[[#This Row],[Beginn]]-Dezember[[#This Row],[Pause]]</f>
        <v>0</v>
      </c>
      <c r="F16" s="33">
        <f>$F$6+SUM($E$8:Dezember[[#This Row],[Arbeitszeit]])</f>
        <v>-18.333333333333332</v>
      </c>
      <c r="G16" s="32"/>
      <c r="H16" s="35" t="e">
        <f>IF(ISNUMBER(MATCH(Dezember[[#This Row],[Bemerkung]],Setup!$X$73:$X$86,0)),0,VLOOKUP(WEEKDAY(A16,2),Wochenzeiten[],3,0))</f>
        <v>#REF!</v>
      </c>
      <c r="I16" s="35" t="e">
        <f>IF(ISNUMBER(LOOKUP(Dezember[[#This Row],[Bemerkung]],Setup!$X$71:$X81)),0,Dezember[[#This Row],[Ende]]-Dezember[[#This Row],[Beginn]]-Dezember[[#This Row],[Pause]]-Dezember[[#This Row],[Berechnungshilfe1]])</f>
        <v>#REF!</v>
      </c>
    </row>
    <row r="17" spans="1:9" ht="12.95" customHeight="1" x14ac:dyDescent="0.2">
      <c r="A17" s="53">
        <f t="shared" si="1"/>
        <v>43808</v>
      </c>
      <c r="B17" s="30">
        <v>0</v>
      </c>
      <c r="C17" s="30">
        <v>0</v>
      </c>
      <c r="D17" s="47">
        <f t="shared" si="0"/>
        <v>0</v>
      </c>
      <c r="E17" s="31">
        <f>Dezember[[#This Row],[Ende]]-Dezember[[#This Row],[Beginn]]-Dezember[[#This Row],[Pause]]</f>
        <v>0</v>
      </c>
      <c r="F17" s="33">
        <f>$F$6+SUM($E$8:Dezember[[#This Row],[Arbeitszeit]])</f>
        <v>-18.333333333333332</v>
      </c>
      <c r="G17" s="32"/>
      <c r="H17" s="35" t="e">
        <f>IF(ISNUMBER(MATCH(Dezember[[#This Row],[Bemerkung]],Setup!$X$73:$X$86,0)),0,VLOOKUP(WEEKDAY(A17,2),Wochenzeiten[],3,0))</f>
        <v>#REF!</v>
      </c>
      <c r="I17" s="35" t="e">
        <f>IF(ISNUMBER(LOOKUP(Dezember[[#This Row],[Bemerkung]],Setup!$X$71:$X82)),0,Dezember[[#This Row],[Ende]]-Dezember[[#This Row],[Beginn]]-Dezember[[#This Row],[Pause]]-Dezember[[#This Row],[Berechnungshilfe1]])</f>
        <v>#REF!</v>
      </c>
    </row>
    <row r="18" spans="1:9" ht="12.95" customHeight="1" x14ac:dyDescent="0.2">
      <c r="A18" s="53">
        <f t="shared" si="1"/>
        <v>43809</v>
      </c>
      <c r="B18" s="30">
        <v>0</v>
      </c>
      <c r="C18" s="30">
        <v>0</v>
      </c>
      <c r="D18" s="47">
        <f t="shared" si="0"/>
        <v>0</v>
      </c>
      <c r="E18" s="31">
        <f>Dezember[[#This Row],[Ende]]-Dezember[[#This Row],[Beginn]]-Dezember[[#This Row],[Pause]]</f>
        <v>0</v>
      </c>
      <c r="F18" s="33">
        <f>$F$6+SUM($E$8:Dezember[[#This Row],[Arbeitszeit]])</f>
        <v>-18.333333333333332</v>
      </c>
      <c r="G18" s="32"/>
      <c r="H18" s="35" t="e">
        <f>IF(ISNUMBER(MATCH(Dezember[[#This Row],[Bemerkung]],Setup!$X$73:$X$86,0)),0,VLOOKUP(WEEKDAY(A18,2),Wochenzeiten[],3,0))</f>
        <v>#REF!</v>
      </c>
      <c r="I18" s="35" t="e">
        <f>IF(ISNUMBER(LOOKUP(Dezember[[#This Row],[Bemerkung]],Setup!$X$71:$X83)),0,Dezember[[#This Row],[Ende]]-Dezember[[#This Row],[Beginn]]-Dezember[[#This Row],[Pause]]-Dezember[[#This Row],[Berechnungshilfe1]])</f>
        <v>#REF!</v>
      </c>
    </row>
    <row r="19" spans="1:9" ht="12.95" customHeight="1" x14ac:dyDescent="0.2">
      <c r="A19" s="53">
        <f t="shared" si="1"/>
        <v>43810</v>
      </c>
      <c r="B19" s="30">
        <v>0</v>
      </c>
      <c r="C19" s="30">
        <v>0</v>
      </c>
      <c r="D19" s="47">
        <f t="shared" si="0"/>
        <v>0</v>
      </c>
      <c r="E19" s="31">
        <f>Dezember[[#This Row],[Ende]]-Dezember[[#This Row],[Beginn]]-Dezember[[#This Row],[Pause]]</f>
        <v>0</v>
      </c>
      <c r="F19" s="33">
        <f>$F$6+SUM($E$8:Dezember[[#This Row],[Arbeitszeit]])</f>
        <v>-18.333333333333332</v>
      </c>
      <c r="G19" s="32"/>
      <c r="H19" s="35" t="e">
        <f>IF(ISNUMBER(MATCH(Dezember[[#This Row],[Bemerkung]],Setup!$X$73:$X$86,0)),0,VLOOKUP(WEEKDAY(A19,2),Wochenzeiten[],3,0))</f>
        <v>#REF!</v>
      </c>
      <c r="I19" s="35" t="e">
        <f>IF(ISNUMBER(LOOKUP(Dezember[[#This Row],[Bemerkung]],Setup!$X$71:$X84)),0,Dezember[[#This Row],[Ende]]-Dezember[[#This Row],[Beginn]]-Dezember[[#This Row],[Pause]]-Dezember[[#This Row],[Berechnungshilfe1]])</f>
        <v>#REF!</v>
      </c>
    </row>
    <row r="20" spans="1:9" ht="12.95" customHeight="1" x14ac:dyDescent="0.2">
      <c r="A20" s="53">
        <f t="shared" si="1"/>
        <v>43811</v>
      </c>
      <c r="B20" s="30">
        <v>0</v>
      </c>
      <c r="C20" s="30">
        <v>0</v>
      </c>
      <c r="D20" s="47">
        <f t="shared" si="0"/>
        <v>0</v>
      </c>
      <c r="E20" s="31">
        <f>Dezember[[#This Row],[Ende]]-Dezember[[#This Row],[Beginn]]-Dezember[[#This Row],[Pause]]</f>
        <v>0</v>
      </c>
      <c r="F20" s="33">
        <f>$F$6+SUM($E$8:Dezember[[#This Row],[Arbeitszeit]])</f>
        <v>-18.333333333333332</v>
      </c>
      <c r="G20" s="32"/>
      <c r="H20" s="35" t="e">
        <f>IF(ISNUMBER(MATCH(Dezember[[#This Row],[Bemerkung]],Setup!$X$73:$X$86,0)),0,VLOOKUP(WEEKDAY(A20,2),Wochenzeiten[],3,0))</f>
        <v>#REF!</v>
      </c>
      <c r="I20" s="35" t="e">
        <f>IF(ISNUMBER(LOOKUP(Dezember[[#This Row],[Bemerkung]],Setup!$X$71:$X85)),0,Dezember[[#This Row],[Ende]]-Dezember[[#This Row],[Beginn]]-Dezember[[#This Row],[Pause]]-Dezember[[#This Row],[Berechnungshilfe1]])</f>
        <v>#REF!</v>
      </c>
    </row>
    <row r="21" spans="1:9" ht="12.95" customHeight="1" x14ac:dyDescent="0.2">
      <c r="A21" s="53">
        <f t="shared" si="1"/>
        <v>43812</v>
      </c>
      <c r="B21" s="30">
        <v>0</v>
      </c>
      <c r="C21" s="30">
        <v>0</v>
      </c>
      <c r="D21" s="47">
        <f t="shared" si="0"/>
        <v>0</v>
      </c>
      <c r="E21" s="31">
        <f>Dezember[[#This Row],[Ende]]-Dezember[[#This Row],[Beginn]]-Dezember[[#This Row],[Pause]]</f>
        <v>0</v>
      </c>
      <c r="F21" s="33">
        <f>$F$6+SUM($E$8:Dezember[[#This Row],[Arbeitszeit]])</f>
        <v>-18.333333333333332</v>
      </c>
      <c r="G21" s="32"/>
      <c r="H21" s="35" t="e">
        <f>IF(ISNUMBER(MATCH(Dezember[[#This Row],[Bemerkung]],Setup!$X$73:$X$86,0)),0,VLOOKUP(WEEKDAY(A21,2),Wochenzeiten[],3,0))</f>
        <v>#REF!</v>
      </c>
      <c r="I21" s="35" t="e">
        <f>IF(ISNUMBER(LOOKUP(Dezember[[#This Row],[Bemerkung]],Setup!$X$71:$X86)),0,Dezember[[#This Row],[Ende]]-Dezember[[#This Row],[Beginn]]-Dezember[[#This Row],[Pause]]-Dezember[[#This Row],[Berechnungshilfe1]])</f>
        <v>#REF!</v>
      </c>
    </row>
    <row r="22" spans="1:9" ht="12.95" customHeight="1" x14ac:dyDescent="0.2">
      <c r="A22" s="53">
        <f t="shared" si="1"/>
        <v>43813</v>
      </c>
      <c r="B22" s="30">
        <v>0</v>
      </c>
      <c r="C22" s="30">
        <v>0</v>
      </c>
      <c r="D22" s="47">
        <f t="shared" si="0"/>
        <v>0</v>
      </c>
      <c r="E22" s="31">
        <f>Dezember[[#This Row],[Ende]]-Dezember[[#This Row],[Beginn]]-Dezember[[#This Row],[Pause]]</f>
        <v>0</v>
      </c>
      <c r="F22" s="33">
        <f>$F$6+SUM($E$8:Dezember[[#This Row],[Arbeitszeit]])</f>
        <v>-18.333333333333332</v>
      </c>
      <c r="G22" s="32"/>
      <c r="H22" s="35" t="e">
        <f>IF(ISNUMBER(MATCH(Dezember[[#This Row],[Bemerkung]],Setup!$X$73:$X$86,0)),0,VLOOKUP(WEEKDAY(A22,2),Wochenzeiten[],3,0))</f>
        <v>#REF!</v>
      </c>
      <c r="I22" s="35" t="e">
        <f>IF(ISNUMBER(LOOKUP(Dezember[[#This Row],[Bemerkung]],Setup!$X$71:$X87)),0,Dezember[[#This Row],[Ende]]-Dezember[[#This Row],[Beginn]]-Dezember[[#This Row],[Pause]]-Dezember[[#This Row],[Berechnungshilfe1]])</f>
        <v>#REF!</v>
      </c>
    </row>
    <row r="23" spans="1:9" ht="12.95" customHeight="1" x14ac:dyDescent="0.2">
      <c r="A23" s="53">
        <f t="shared" si="1"/>
        <v>43814</v>
      </c>
      <c r="B23" s="30">
        <v>0</v>
      </c>
      <c r="C23" s="30">
        <v>0</v>
      </c>
      <c r="D23" s="47">
        <f t="shared" si="0"/>
        <v>0</v>
      </c>
      <c r="E23" s="31">
        <f>Dezember[[#This Row],[Ende]]-Dezember[[#This Row],[Beginn]]-Dezember[[#This Row],[Pause]]</f>
        <v>0</v>
      </c>
      <c r="F23" s="33">
        <f>$F$6+SUM($E$8:Dezember[[#This Row],[Arbeitszeit]])</f>
        <v>-18.333333333333332</v>
      </c>
      <c r="G23" s="32"/>
      <c r="H23" s="35" t="e">
        <f>IF(ISNUMBER(MATCH(Dezember[[#This Row],[Bemerkung]],Setup!$X$73:$X$86,0)),0,VLOOKUP(WEEKDAY(A23,2),Wochenzeiten[],3,0))</f>
        <v>#REF!</v>
      </c>
      <c r="I23" s="35" t="e">
        <f>IF(ISNUMBER(LOOKUP(Dezember[[#This Row],[Bemerkung]],Setup!$X$71:$X87)),0,Dezember[[#This Row],[Ende]]-Dezember[[#This Row],[Beginn]]-Dezember[[#This Row],[Pause]]-Dezember[[#This Row],[Berechnungshilfe1]])</f>
        <v>#REF!</v>
      </c>
    </row>
    <row r="24" spans="1:9" ht="12.95" customHeight="1" x14ac:dyDescent="0.2">
      <c r="A24" s="53">
        <f t="shared" si="1"/>
        <v>43815</v>
      </c>
      <c r="B24" s="30">
        <v>0</v>
      </c>
      <c r="C24" s="30">
        <v>0</v>
      </c>
      <c r="D24" s="47">
        <f t="shared" si="0"/>
        <v>0</v>
      </c>
      <c r="E24" s="31">
        <f>Dezember[[#This Row],[Ende]]-Dezember[[#This Row],[Beginn]]-Dezember[[#This Row],[Pause]]</f>
        <v>0</v>
      </c>
      <c r="F24" s="33">
        <f>$F$6+SUM($E$8:Dezember[[#This Row],[Arbeitszeit]])</f>
        <v>-18.333333333333332</v>
      </c>
      <c r="G24" s="32"/>
      <c r="H24" s="35" t="e">
        <f>IF(ISNUMBER(MATCH(Dezember[[#This Row],[Bemerkung]],Setup!$X$73:$X$86,0)),0,VLOOKUP(WEEKDAY(A24,2),Wochenzeiten[],3,0))</f>
        <v>#REF!</v>
      </c>
      <c r="I24" s="35" t="e">
        <f>IF(ISNUMBER(LOOKUP(Dezember[[#This Row],[Bemerkung]],Setup!$X$71:$X88)),0,Dezember[[#This Row],[Ende]]-Dezember[[#This Row],[Beginn]]-Dezember[[#This Row],[Pause]]-Dezember[[#This Row],[Berechnungshilfe1]])</f>
        <v>#REF!</v>
      </c>
    </row>
    <row r="25" spans="1:9" ht="12.95" customHeight="1" x14ac:dyDescent="0.2">
      <c r="A25" s="53">
        <f t="shared" si="1"/>
        <v>43816</v>
      </c>
      <c r="B25" s="30">
        <v>0</v>
      </c>
      <c r="C25" s="30">
        <v>0</v>
      </c>
      <c r="D25" s="47">
        <f t="shared" si="0"/>
        <v>0</v>
      </c>
      <c r="E25" s="31">
        <f>Dezember[[#This Row],[Ende]]-Dezember[[#This Row],[Beginn]]-Dezember[[#This Row],[Pause]]</f>
        <v>0</v>
      </c>
      <c r="F25" s="33">
        <f>$F$6+SUM($E$8:Dezember[[#This Row],[Arbeitszeit]])</f>
        <v>-18.333333333333332</v>
      </c>
      <c r="G25" s="32"/>
      <c r="H25" s="35" t="e">
        <f>IF(ISNUMBER(MATCH(Dezember[[#This Row],[Bemerkung]],Setup!$X$73:$X$86,0)),0,VLOOKUP(WEEKDAY(A25,2),Wochenzeiten[],3,0))</f>
        <v>#REF!</v>
      </c>
      <c r="I25" s="35" t="e">
        <f>IF(ISNUMBER(LOOKUP(Dezember[[#This Row],[Bemerkung]],Setup!$X$71:$X89)),0,Dezember[[#This Row],[Ende]]-Dezember[[#This Row],[Beginn]]-Dezember[[#This Row],[Pause]]-Dezember[[#This Row],[Berechnungshilfe1]])</f>
        <v>#REF!</v>
      </c>
    </row>
    <row r="26" spans="1:9" ht="12.95" customHeight="1" x14ac:dyDescent="0.2">
      <c r="A26" s="53">
        <f t="shared" si="1"/>
        <v>43817</v>
      </c>
      <c r="B26" s="30">
        <v>0</v>
      </c>
      <c r="C26" s="30">
        <v>0</v>
      </c>
      <c r="D26" s="47">
        <f t="shared" si="0"/>
        <v>0</v>
      </c>
      <c r="E26" s="31">
        <f>Dezember[[#This Row],[Ende]]-Dezember[[#This Row],[Beginn]]-Dezember[[#This Row],[Pause]]</f>
        <v>0</v>
      </c>
      <c r="F26" s="33">
        <f>$F$6+SUM($E$8:Dezember[[#This Row],[Arbeitszeit]])</f>
        <v>-18.333333333333332</v>
      </c>
      <c r="G26" s="32"/>
      <c r="H26" s="35" t="e">
        <f>IF(ISNUMBER(MATCH(Dezember[[#This Row],[Bemerkung]],Setup!$X$73:$X$86,0)),0,VLOOKUP(WEEKDAY(A26,2),Wochenzeiten[],3,0))</f>
        <v>#REF!</v>
      </c>
      <c r="I26" s="35" t="e">
        <f>IF(ISNUMBER(LOOKUP(Dezember[[#This Row],[Bemerkung]],Setup!$X$71:$X90)),0,Dezember[[#This Row],[Ende]]-Dezember[[#This Row],[Beginn]]-Dezember[[#This Row],[Pause]]-Dezember[[#This Row],[Berechnungshilfe1]])</f>
        <v>#REF!</v>
      </c>
    </row>
    <row r="27" spans="1:9" ht="12.95" customHeight="1" x14ac:dyDescent="0.2">
      <c r="A27" s="53">
        <f t="shared" si="1"/>
        <v>43818</v>
      </c>
      <c r="B27" s="30">
        <v>0</v>
      </c>
      <c r="C27" s="30">
        <v>0</v>
      </c>
      <c r="D27" s="47">
        <f t="shared" si="0"/>
        <v>0</v>
      </c>
      <c r="E27" s="31">
        <f>Dezember[[#This Row],[Ende]]-Dezember[[#This Row],[Beginn]]-Dezember[[#This Row],[Pause]]</f>
        <v>0</v>
      </c>
      <c r="F27" s="33">
        <f>$F$6+SUM($E$8:Dezember[[#This Row],[Arbeitszeit]])</f>
        <v>-18.333333333333332</v>
      </c>
      <c r="G27" s="32"/>
      <c r="H27" s="35" t="e">
        <f>IF(ISNUMBER(MATCH(Dezember[[#This Row],[Bemerkung]],Setup!$X$73:$X$86,0)),0,VLOOKUP(WEEKDAY(A27,2),Wochenzeiten[],3,0))</f>
        <v>#REF!</v>
      </c>
      <c r="I27" s="35" t="e">
        <f>IF(ISNUMBER(LOOKUP(Dezember[[#This Row],[Bemerkung]],Setup!$X$71:$X91)),0,Dezember[[#This Row],[Ende]]-Dezember[[#This Row],[Beginn]]-Dezember[[#This Row],[Pause]]-Dezember[[#This Row],[Berechnungshilfe1]])</f>
        <v>#REF!</v>
      </c>
    </row>
    <row r="28" spans="1:9" ht="12.95" customHeight="1" x14ac:dyDescent="0.2">
      <c r="A28" s="53">
        <f t="shared" si="1"/>
        <v>43819</v>
      </c>
      <c r="B28" s="30">
        <v>0</v>
      </c>
      <c r="C28" s="30">
        <v>0</v>
      </c>
      <c r="D28" s="47">
        <f t="shared" si="0"/>
        <v>0</v>
      </c>
      <c r="E28" s="31">
        <f>Dezember[[#This Row],[Ende]]-Dezember[[#This Row],[Beginn]]-Dezember[[#This Row],[Pause]]</f>
        <v>0</v>
      </c>
      <c r="F28" s="33">
        <f>$F$6+SUM($E$8:Dezember[[#This Row],[Arbeitszeit]])</f>
        <v>-18.333333333333332</v>
      </c>
      <c r="G28" s="32"/>
      <c r="H28" s="35" t="e">
        <f>IF(ISNUMBER(MATCH(Dezember[[#This Row],[Bemerkung]],Setup!$X$73:$X$86,0)),0,VLOOKUP(WEEKDAY(A28,2),Wochenzeiten[],3,0))</f>
        <v>#REF!</v>
      </c>
      <c r="I28" s="35" t="e">
        <f>IF(ISNUMBER(LOOKUP(Dezember[[#This Row],[Bemerkung]],Setup!$X$71:$X92)),0,Dezember[[#This Row],[Ende]]-Dezember[[#This Row],[Beginn]]-Dezember[[#This Row],[Pause]]-Dezember[[#This Row],[Berechnungshilfe1]])</f>
        <v>#REF!</v>
      </c>
    </row>
    <row r="29" spans="1:9" ht="12.95" customHeight="1" x14ac:dyDescent="0.2">
      <c r="A29" s="53">
        <f t="shared" si="1"/>
        <v>43820</v>
      </c>
      <c r="B29" s="30">
        <v>0</v>
      </c>
      <c r="C29" s="30">
        <v>0</v>
      </c>
      <c r="D29" s="47">
        <f t="shared" si="0"/>
        <v>0</v>
      </c>
      <c r="E29" s="31">
        <f>Dezember[[#This Row],[Ende]]-Dezember[[#This Row],[Beginn]]-Dezember[[#This Row],[Pause]]</f>
        <v>0</v>
      </c>
      <c r="F29" s="33">
        <f>$F$6+SUM($E$8:Dezember[[#This Row],[Arbeitszeit]])</f>
        <v>-18.333333333333332</v>
      </c>
      <c r="G29" s="32"/>
      <c r="H29" s="35" t="e">
        <f>IF(ISNUMBER(MATCH(Dezember[[#This Row],[Bemerkung]],Setup!$X$73:$X$86,0)),0,VLOOKUP(WEEKDAY(A29,2),Wochenzeiten[],3,0))</f>
        <v>#REF!</v>
      </c>
      <c r="I29" s="35" t="e">
        <f>IF(ISNUMBER(LOOKUP(Dezember[[#This Row],[Bemerkung]],Setup!$X$71:$X93)),0,Dezember[[#This Row],[Ende]]-Dezember[[#This Row],[Beginn]]-Dezember[[#This Row],[Pause]]-Dezember[[#This Row],[Berechnungshilfe1]])</f>
        <v>#REF!</v>
      </c>
    </row>
    <row r="30" spans="1:9" ht="12.95" customHeight="1" x14ac:dyDescent="0.2">
      <c r="A30" s="53">
        <f t="shared" si="1"/>
        <v>43821</v>
      </c>
      <c r="B30" s="30">
        <v>0</v>
      </c>
      <c r="C30" s="30">
        <v>0</v>
      </c>
      <c r="D30" s="47">
        <f t="shared" si="0"/>
        <v>0</v>
      </c>
      <c r="E30" s="31">
        <f>Dezember[[#This Row],[Ende]]-Dezember[[#This Row],[Beginn]]-Dezember[[#This Row],[Pause]]</f>
        <v>0</v>
      </c>
      <c r="F30" s="33">
        <f>$F$6+SUM($E$8:Dezember[[#This Row],[Arbeitszeit]])</f>
        <v>-18.333333333333332</v>
      </c>
      <c r="G30" s="32"/>
      <c r="H30" s="35" t="e">
        <f>IF(ISNUMBER(MATCH(Dezember[[#This Row],[Bemerkung]],Setup!$X$73:$X$86,0)),0,VLOOKUP(WEEKDAY(A30,2),Wochenzeiten[],3,0))</f>
        <v>#REF!</v>
      </c>
      <c r="I30" s="35" t="e">
        <f>IF(ISNUMBER(LOOKUP(Dezember[[#This Row],[Bemerkung]],Setup!$X$71:$X94)),0,Dezember[[#This Row],[Ende]]-Dezember[[#This Row],[Beginn]]-Dezember[[#This Row],[Pause]]-Dezember[[#This Row],[Berechnungshilfe1]])</f>
        <v>#REF!</v>
      </c>
    </row>
    <row r="31" spans="1:9" ht="12.95" customHeight="1" x14ac:dyDescent="0.2">
      <c r="A31" s="53">
        <f t="shared" si="1"/>
        <v>43822</v>
      </c>
      <c r="B31" s="30">
        <v>0</v>
      </c>
      <c r="C31" s="30">
        <v>0</v>
      </c>
      <c r="D31" s="47">
        <f t="shared" si="0"/>
        <v>0</v>
      </c>
      <c r="E31" s="31">
        <f>Dezember[[#This Row],[Ende]]-Dezember[[#This Row],[Beginn]]-Dezember[[#This Row],[Pause]]</f>
        <v>0</v>
      </c>
      <c r="F31" s="33">
        <f>$F$6+SUM($E$8:Dezember[[#This Row],[Arbeitszeit]])</f>
        <v>-18.333333333333332</v>
      </c>
      <c r="G31" s="32" t="s">
        <v>89</v>
      </c>
      <c r="H31" s="35" t="e">
        <f>IF(ISNUMBER(MATCH(Dezember[[#This Row],[Bemerkung]],Setup!$X$73:$X$86,0)),0,VLOOKUP(WEEKDAY(A31,2),Wochenzeiten[],3,0))</f>
        <v>#REF!</v>
      </c>
      <c r="I31" s="35" t="e">
        <f>IF(ISNUMBER(LOOKUP(Dezember[[#This Row],[Bemerkung]],Setup!$X$71:$X95)),0,Dezember[[#This Row],[Ende]]-Dezember[[#This Row],[Beginn]]-Dezember[[#This Row],[Pause]]-Dezember[[#This Row],[Berechnungshilfe1]])</f>
        <v>#REF!</v>
      </c>
    </row>
    <row r="32" spans="1:9" ht="12.95" customHeight="1" x14ac:dyDescent="0.2">
      <c r="A32" s="53">
        <f t="shared" si="1"/>
        <v>43823</v>
      </c>
      <c r="B32" s="30">
        <v>0</v>
      </c>
      <c r="C32" s="30">
        <v>0</v>
      </c>
      <c r="D32" s="47">
        <f t="shared" si="0"/>
        <v>0</v>
      </c>
      <c r="E32" s="31">
        <f>Dezember[[#This Row],[Ende]]-Dezember[[#This Row],[Beginn]]-Dezember[[#This Row],[Pause]]</f>
        <v>0</v>
      </c>
      <c r="F32" s="33">
        <f>$F$6+SUM($E$8:Dezember[[#This Row],[Arbeitszeit]])</f>
        <v>-18.333333333333332</v>
      </c>
      <c r="G32" s="34" t="s">
        <v>88</v>
      </c>
      <c r="H32" s="35" t="e">
        <f>IF(ISNUMBER(MATCH(Dezember[[#This Row],[Bemerkung]],Setup!$X$73:$X$86,0)),0,VLOOKUP(WEEKDAY(A32,2),Wochenzeiten[],3,0))</f>
        <v>#REF!</v>
      </c>
      <c r="I32" s="35" t="e">
        <f>IF(ISNUMBER(LOOKUP(Dezember[[#This Row],[Bemerkung]],Setup!$X$71:$X96)),0,Dezember[[#This Row],[Ende]]-Dezember[[#This Row],[Beginn]]-Dezember[[#This Row],[Pause]]-Dezember[[#This Row],[Berechnungshilfe1]])</f>
        <v>#REF!</v>
      </c>
    </row>
    <row r="33" spans="1:9" ht="12.95" customHeight="1" x14ac:dyDescent="0.2">
      <c r="A33" s="53">
        <f t="shared" si="1"/>
        <v>43824</v>
      </c>
      <c r="B33" s="30">
        <v>0</v>
      </c>
      <c r="C33" s="30">
        <v>0</v>
      </c>
      <c r="D33" s="47">
        <f t="shared" si="0"/>
        <v>0</v>
      </c>
      <c r="E33" s="31">
        <f>Dezember[[#This Row],[Ende]]-Dezember[[#This Row],[Beginn]]-Dezember[[#This Row],[Pause]]</f>
        <v>0</v>
      </c>
      <c r="F33" s="33">
        <f>$F$6+SUM($E$8:Dezember[[#This Row],[Arbeitszeit]])</f>
        <v>-18.333333333333332</v>
      </c>
      <c r="G33" s="34" t="s">
        <v>88</v>
      </c>
      <c r="H33" s="35" t="e">
        <f>IF(ISNUMBER(MATCH(Dezember[[#This Row],[Bemerkung]],Setup!$X$73:$X$86,0)),0,VLOOKUP(WEEKDAY(A33,2),Wochenzeiten[],3,0))</f>
        <v>#REF!</v>
      </c>
      <c r="I33" s="35" t="e">
        <f>IF(ISNUMBER(LOOKUP(Dezember[[#This Row],[Bemerkung]],Setup!$X$71:$X97)),0,Dezember[[#This Row],[Ende]]-Dezember[[#This Row],[Beginn]]-Dezember[[#This Row],[Pause]]-Dezember[[#This Row],[Berechnungshilfe1]])</f>
        <v>#REF!</v>
      </c>
    </row>
    <row r="34" spans="1:9" ht="12.95" customHeight="1" x14ac:dyDescent="0.2">
      <c r="A34" s="53">
        <f t="shared" si="1"/>
        <v>43825</v>
      </c>
      <c r="B34" s="30">
        <v>0</v>
      </c>
      <c r="C34" s="30">
        <v>0</v>
      </c>
      <c r="D34" s="47">
        <f t="shared" si="0"/>
        <v>0</v>
      </c>
      <c r="E34" s="31">
        <f>Dezember[[#This Row],[Ende]]-Dezember[[#This Row],[Beginn]]-Dezember[[#This Row],[Pause]]</f>
        <v>0</v>
      </c>
      <c r="F34" s="33">
        <f>$F$6+SUM($E$8:Dezember[[#This Row],[Arbeitszeit]])</f>
        <v>-18.333333333333332</v>
      </c>
      <c r="G34" s="32"/>
      <c r="H34" s="35" t="e">
        <f>IF(ISNUMBER(MATCH(Dezember[[#This Row],[Bemerkung]],Setup!$X$73:$X$86,0)),0,VLOOKUP(WEEKDAY(A34,2),Wochenzeiten[],3,0))</f>
        <v>#REF!</v>
      </c>
      <c r="I34" s="35" t="e">
        <f>IF(ISNUMBER(LOOKUP(Dezember[[#This Row],[Bemerkung]],Setup!$X$71:$X98)),0,Dezember[[#This Row],[Ende]]-Dezember[[#This Row],[Beginn]]-Dezember[[#This Row],[Pause]]-Dezember[[#This Row],[Berechnungshilfe1]])</f>
        <v>#REF!</v>
      </c>
    </row>
    <row r="35" spans="1:9" ht="12.75" customHeight="1" x14ac:dyDescent="0.2">
      <c r="A35" s="53">
        <f t="shared" si="1"/>
        <v>43826</v>
      </c>
      <c r="B35" s="30">
        <v>0</v>
      </c>
      <c r="C35" s="30">
        <v>0</v>
      </c>
      <c r="D35" s="47">
        <f t="shared" si="0"/>
        <v>0</v>
      </c>
      <c r="E35" s="31">
        <f>Dezember[[#This Row],[Ende]]-Dezember[[#This Row],[Beginn]]-Dezember[[#This Row],[Pause]]</f>
        <v>0</v>
      </c>
      <c r="F35" s="33">
        <f>$F$6+SUM($E$8:Dezember[[#This Row],[Arbeitszeit]])</f>
        <v>-18.333333333333332</v>
      </c>
      <c r="G35" s="32"/>
      <c r="H35" s="35" t="e">
        <f>IF(ISNUMBER(MATCH(Dezember[[#This Row],[Bemerkung]],Setup!$X$73:$X$86,0)),0,VLOOKUP(WEEKDAY(A35,2),Wochenzeiten[],3,0))</f>
        <v>#REF!</v>
      </c>
      <c r="I35" s="35" t="e">
        <f>IF(ISNUMBER(LOOKUP(Dezember[[#This Row],[Bemerkung]],Setup!$X$71:$X99)),0,Dezember[[#This Row],[Ende]]-Dezember[[#This Row],[Beginn]]-Dezember[[#This Row],[Pause]]-Dezember[[#This Row],[Berechnungshilfe1]])</f>
        <v>#REF!</v>
      </c>
    </row>
    <row r="36" spans="1:9" ht="12.75" customHeight="1" x14ac:dyDescent="0.2">
      <c r="A36" s="53">
        <f t="shared" si="1"/>
        <v>43827</v>
      </c>
      <c r="B36" s="30">
        <v>0</v>
      </c>
      <c r="C36" s="30">
        <v>0</v>
      </c>
      <c r="D36" s="47">
        <f t="shared" si="0"/>
        <v>0</v>
      </c>
      <c r="E36" s="31">
        <f>Dezember[[#This Row],[Ende]]-Dezember[[#This Row],[Beginn]]-Dezember[[#This Row],[Pause]]</f>
        <v>0</v>
      </c>
      <c r="F36" s="33">
        <f>$F$6+SUM($E$8:Dezember[[#This Row],[Arbeitszeit]])</f>
        <v>-18.333333333333332</v>
      </c>
      <c r="G36" s="32"/>
      <c r="H36" s="35" t="e">
        <f>IF(ISNUMBER(MATCH(Dezember[[#This Row],[Bemerkung]],Setup!$X$73:$X$86,0)),0,VLOOKUP(WEEKDAY(A36,2),Wochenzeiten[],3,0))</f>
        <v>#REF!</v>
      </c>
      <c r="I36" s="35" t="e">
        <f>IF(ISNUMBER(LOOKUP(Dezember[[#This Row],[Bemerkung]],Setup!$X$71:$X100)),0,Dezember[[#This Row],[Ende]]-Dezember[[#This Row],[Beginn]]-Dezember[[#This Row],[Pause]]-Dezember[[#This Row],[Berechnungshilfe1]])</f>
        <v>#REF!</v>
      </c>
    </row>
    <row r="37" spans="1:9" ht="12.75" customHeight="1" x14ac:dyDescent="0.2">
      <c r="A37" s="53">
        <f t="shared" si="1"/>
        <v>43828</v>
      </c>
      <c r="B37" s="30">
        <v>0</v>
      </c>
      <c r="C37" s="30">
        <v>0</v>
      </c>
      <c r="D37" s="47">
        <f t="shared" si="0"/>
        <v>0</v>
      </c>
      <c r="E37" s="31">
        <f>Dezember[[#This Row],[Ende]]-Dezember[[#This Row],[Beginn]]-Dezember[[#This Row],[Pause]]</f>
        <v>0</v>
      </c>
      <c r="F37" s="33">
        <f>$F$6+SUM($E$8:Dezember[[#This Row],[Arbeitszeit]])</f>
        <v>-18.333333333333332</v>
      </c>
      <c r="G37" s="32"/>
      <c r="H37" s="35" t="e">
        <f>IF(ISNUMBER(MATCH(Dezember[[#This Row],[Bemerkung]],Setup!$X$73:$X$86,0)),0,VLOOKUP(WEEKDAY(A37,2),Wochenzeiten[],3,0))</f>
        <v>#REF!</v>
      </c>
      <c r="I37" s="35" t="e">
        <f>IF(ISNUMBER(LOOKUP(Dezember[[#This Row],[Bemerkung]],Setup!$X$71:$X101)),0,Dezember[[#This Row],[Ende]]-Dezember[[#This Row],[Beginn]]-Dezember[[#This Row],[Pause]]-Dezember[[#This Row],[Berechnungshilfe1]])</f>
        <v>#REF!</v>
      </c>
    </row>
    <row r="38" spans="1:9" ht="12.75" customHeight="1" x14ac:dyDescent="0.2">
      <c r="A38" s="53">
        <f t="shared" si="1"/>
        <v>43829</v>
      </c>
      <c r="B38" s="30">
        <v>0</v>
      </c>
      <c r="C38" s="30">
        <v>0</v>
      </c>
      <c r="D38" s="47">
        <f t="shared" si="0"/>
        <v>0</v>
      </c>
      <c r="E38" s="31">
        <f>Dezember[[#This Row],[Ende]]-Dezember[[#This Row],[Beginn]]-Dezember[[#This Row],[Pause]]</f>
        <v>0</v>
      </c>
      <c r="F38" s="33">
        <f>$F$6+SUM($E$8:Dezember[[#This Row],[Arbeitszeit]])</f>
        <v>-18.333333333333332</v>
      </c>
      <c r="G38" s="32" t="s">
        <v>85</v>
      </c>
      <c r="H38" s="35" t="e">
        <f>IF(ISNUMBER(MATCH(Dezember[[#This Row],[Bemerkung]],Setup!$X$73:$X$86,0)),0,VLOOKUP(WEEKDAY(A38,2),Wochenzeiten[],3,0))</f>
        <v>#REF!</v>
      </c>
      <c r="I38" s="35" t="e">
        <f>IF(ISNUMBER(LOOKUP(Dezember[[#This Row],[Bemerkung]],Setup!$X$71:$X102)),0,Dezember[[#This Row],[Ende]]-Dezember[[#This Row],[Beginn]]-Dezember[[#This Row],[Pause]]-Dezember[[#This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SUM(Dezember[Arbeitszeit])+$F$6-E47</f>
        <v>-20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" priority="1">
      <formula>WEEKDAY($A8,2)&gt;5</formula>
    </cfRule>
    <cfRule type="cellIs" dxfId="0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DATE(Setup!C13,1,1)</f>
        <v>43465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52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28">
        <v>0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29">
        <f>F4</f>
        <v>43465</v>
      </c>
      <c r="B8" s="28">
        <v>0</v>
      </c>
      <c r="C8" s="28">
        <v>0</v>
      </c>
      <c r="D8" s="33">
        <f>IF((Januar[[#This Row],[Ende]]-Januar[[#This Row],[Beginn]])&lt;TIME(6,1,0),TIME(0,0,0),IF((Januar[[#This Row],[Ende]]-Januar[[#This Row],[Beginn]])&lt;TIME(9,31,0),Setup!$C$16,Setup!$C$17))</f>
        <v>0</v>
      </c>
      <c r="E8" s="31">
        <f>Januar[[#This Row],[Ende]]-Januar[[#This Row],[Beginn]]-Januar[[#This Row],[Pause]]</f>
        <v>0</v>
      </c>
      <c r="F8" s="33">
        <f>$F$6+SUM($E$8:Januar[[#This Row],[Arbeitszeit]])</f>
        <v>0</v>
      </c>
      <c r="G8" s="34" t="s">
        <v>21</v>
      </c>
      <c r="H8" s="35">
        <f>IF(ISNUMBER(MATCH(Januar[[#This Row],[Bemerkung]],Setup!$X$73:$X$86,0)),0,VLOOKUP(WEEKDAY(A8,2),Wochenzeiten[],3,0))</f>
        <v>0</v>
      </c>
      <c r="I8" s="35">
        <f>IF(ISNUMBER(LOOKUP(Januar[[#This Row],[Bemerkung]],Setup!$X$71:$X72)),0,Januar[[#This Row],[Ende]]-Januar[[#This Row],[Beginn]]-Januar[[#This Row],[Pause]]-Januar[[#This Row],[Berechnungshilfe1]])</f>
        <v>0</v>
      </c>
    </row>
    <row r="9" spans="1:15" ht="12.95" customHeight="1" x14ac:dyDescent="0.2">
      <c r="A9" s="29">
        <f t="shared" ref="A9:A38" si="0">A8+1</f>
        <v>43466</v>
      </c>
      <c r="B9" s="28">
        <v>0</v>
      </c>
      <c r="C9" s="28">
        <v>0</v>
      </c>
      <c r="D9" s="33">
        <f>IF((Januar[[#This Row],[Ende]]-Januar[[#This Row],[Beginn]])&lt;TIME(6,1,0),TIME(0,0,0),IF((Januar[[#This Row],[Ende]]-Januar[[#This Row],[Beginn]])&lt;TIME(9,31,0),Setup!$C$16,Setup!$C$17))</f>
        <v>0</v>
      </c>
      <c r="E9" s="31">
        <f>Januar[[#This Row],[Ende]]-Januar[[#This Row],[Beginn]]-Januar[[#This Row],[Pause]]</f>
        <v>0</v>
      </c>
      <c r="F9" s="33">
        <f>$F$6+SUM($E$8:Januar[[#This Row],[Arbeitszeit]])</f>
        <v>0</v>
      </c>
      <c r="G9" s="32"/>
      <c r="H9" s="35" t="e">
        <f>IF(ISNUMBER(MATCH(Januar[[#This Row],[Bemerkung]],Setup!$X$73:$X$86,0)),0,VLOOKUP(WEEKDAY(A9,2),Wochenzeiten[],3,0))</f>
        <v>#REF!</v>
      </c>
      <c r="I9" s="35" t="e">
        <f>IF(ISNUMBER(LOOKUP(Januar[[#This Row],[Bemerkung]],Setup!$X$71:$X73)),0,Januar[[#This Row],[Ende]]-Januar[[#This Row],[Beginn]]-Januar[[#This Row],[Pause]]-Januar[[#This Row],[Berechnungshilfe1]])</f>
        <v>#REF!</v>
      </c>
    </row>
    <row r="10" spans="1:15" ht="12.95" customHeight="1" x14ac:dyDescent="0.2">
      <c r="A10" s="29">
        <f t="shared" si="0"/>
        <v>43467</v>
      </c>
      <c r="B10" s="28">
        <v>0</v>
      </c>
      <c r="C10" s="28">
        <v>0</v>
      </c>
      <c r="D10" s="33">
        <f>IF((Januar[[#This Row],[Ende]]-Januar[[#This Row],[Beginn]])&lt;TIME(6,1,0),TIME(0,0,0),IF((Januar[[#This Row],[Ende]]-Januar[[#This Row],[Beginn]])&lt;TIME(9,31,0),Setup!$C$16,Setup!$C$17))</f>
        <v>0</v>
      </c>
      <c r="E10" s="31">
        <f>Januar[[#This Row],[Ende]]-Januar[[#This Row],[Beginn]]-Januar[[#This Row],[Pause]]</f>
        <v>0</v>
      </c>
      <c r="F10" s="33">
        <f>$F$6+SUM($E$8:Januar[[#This Row],[Arbeitszeit]])</f>
        <v>0</v>
      </c>
      <c r="G10" s="32"/>
      <c r="H10" s="35" t="e">
        <f>IF(ISNUMBER(MATCH(Januar[[#This Row],[Bemerkung]],Setup!$X$73:$X$86,0)),0,VLOOKUP(WEEKDAY(A10,2),Wochenzeiten[],3,0))</f>
        <v>#REF!</v>
      </c>
      <c r="I10" s="35" t="e">
        <f>IF(ISNUMBER(LOOKUP(Januar[[#This Row],[Bemerkung]],Setup!$X$71:$X74)),0,Januar[[#This Row],[Ende]]-Januar[[#This Row],[Beginn]]-Januar[[#This Row],[Pause]]-Januar[[#This Row],[Berechnungshilfe1]])</f>
        <v>#REF!</v>
      </c>
    </row>
    <row r="11" spans="1:15" ht="12.95" customHeight="1" x14ac:dyDescent="0.2">
      <c r="A11" s="29">
        <f t="shared" si="0"/>
        <v>43468</v>
      </c>
      <c r="B11" s="28">
        <v>0</v>
      </c>
      <c r="C11" s="28">
        <v>0</v>
      </c>
      <c r="D11" s="33">
        <f>IF((Januar[[#This Row],[Ende]]-Januar[[#This Row],[Beginn]])&lt;TIME(6,1,0),TIME(0,0,0),IF((Januar[[#This Row],[Ende]]-Januar[[#This Row],[Beginn]])&lt;TIME(9,31,0),Setup!$C$16,Setup!$C$17))</f>
        <v>0</v>
      </c>
      <c r="E11" s="31">
        <f>Januar[[#This Row],[Ende]]-Januar[[#This Row],[Beginn]]-Januar[[#This Row],[Pause]]</f>
        <v>0</v>
      </c>
      <c r="F11" s="33">
        <f>$F$6+SUM($E$8:Januar[[#This Row],[Arbeitszeit]])</f>
        <v>0</v>
      </c>
      <c r="G11" s="32"/>
      <c r="H11" s="35" t="e">
        <f>IF(ISNUMBER(MATCH(Januar[[#This Row],[Bemerkung]],Setup!$X$73:$X$86,0)),0,VLOOKUP(WEEKDAY(A11,2),Wochenzeiten[],3,0))</f>
        <v>#REF!</v>
      </c>
      <c r="I11" s="35" t="e">
        <f>IF(ISNUMBER(LOOKUP(Januar[[#This Row],[Bemerkung]],Setup!$X$71:$X75)),0,Januar[[#This Row],[Ende]]-Januar[[#This Row],[Beginn]]-Januar[[#This Row],[Pause]]-Januar[[#This Row],[Berechnungshilfe1]])</f>
        <v>#REF!</v>
      </c>
    </row>
    <row r="12" spans="1:15" ht="12.95" customHeight="1" x14ac:dyDescent="0.2">
      <c r="A12" s="29">
        <f t="shared" si="0"/>
        <v>43469</v>
      </c>
      <c r="B12" s="28">
        <v>0</v>
      </c>
      <c r="C12" s="28">
        <v>0</v>
      </c>
      <c r="D12" s="33">
        <f>IF((Januar[[#This Row],[Ende]]-Januar[[#This Row],[Beginn]])&lt;TIME(6,1,0),TIME(0,0,0),IF((Januar[[#This Row],[Ende]]-Januar[[#This Row],[Beginn]])&lt;TIME(9,31,0),Setup!$C$16,Setup!$C$17))</f>
        <v>0</v>
      </c>
      <c r="E12" s="31">
        <f>Januar[[#This Row],[Ende]]-Januar[[#This Row],[Beginn]]-Januar[[#This Row],[Pause]]</f>
        <v>0</v>
      </c>
      <c r="F12" s="33">
        <f>$F$6+SUM($E$8:Januar[[#This Row],[Arbeitszeit]])</f>
        <v>0</v>
      </c>
      <c r="G12" s="32"/>
      <c r="H12" s="35" t="e">
        <f>IF(ISNUMBER(MATCH(Januar[[#This Row],[Bemerkung]],Setup!$X$73:$X$86,0)),0,VLOOKUP(WEEKDAY(A12,2),Wochenzeiten[],3,0))</f>
        <v>#REF!</v>
      </c>
      <c r="I12" s="35" t="e">
        <f>IF(ISNUMBER(LOOKUP(Januar[[#This Row],[Bemerkung]],Setup!$X$71:$X76)),0,Januar[[#This Row],[Ende]]-Januar[[#This Row],[Beginn]]-Januar[[#This Row],[Pause]]-Januar[[#This Row],[Berechnungshilfe1]])</f>
        <v>#REF!</v>
      </c>
    </row>
    <row r="13" spans="1:15" ht="12.95" customHeight="1" x14ac:dyDescent="0.2">
      <c r="A13" s="29">
        <f t="shared" si="0"/>
        <v>43470</v>
      </c>
      <c r="B13" s="28">
        <v>0</v>
      </c>
      <c r="C13" s="28">
        <v>0</v>
      </c>
      <c r="D13" s="33">
        <f>IF((Januar[[#This Row],[Ende]]-Januar[[#This Row],[Beginn]])&lt;TIME(6,1,0),TIME(0,0,0),IF((Januar[[#This Row],[Ende]]-Januar[[#This Row],[Beginn]])&lt;TIME(9,31,0),Setup!$C$16,Setup!$C$17))</f>
        <v>0</v>
      </c>
      <c r="E13" s="31">
        <f>Januar[[#This Row],[Ende]]-Januar[[#This Row],[Beginn]]-Januar[[#This Row],[Pause]]</f>
        <v>0</v>
      </c>
      <c r="F13" s="33">
        <f>$F$6+SUM($E$8:Januar[[#This Row],[Arbeitszeit]])</f>
        <v>0</v>
      </c>
      <c r="G13" s="32"/>
      <c r="H13" s="35" t="e">
        <f>IF(ISNUMBER(MATCH(Januar[[#This Row],[Bemerkung]],Setup!$X$73:$X$86,0)),0,VLOOKUP(WEEKDAY(A13,2),Wochenzeiten[],3,0))</f>
        <v>#REF!</v>
      </c>
      <c r="I13" s="35" t="e">
        <f>IF(ISNUMBER(LOOKUP(Januar[[#This Row],[Bemerkung]],Setup!$X$71:$X77)),0,Januar[[#This Row],[Ende]]-Januar[[#This Row],[Beginn]]-Januar[[#This Row],[Pause]]-Januar[[#This Row],[Berechnungshilfe1]])</f>
        <v>#REF!</v>
      </c>
    </row>
    <row r="14" spans="1:15" ht="12.95" customHeight="1" x14ac:dyDescent="0.2">
      <c r="A14" s="29">
        <f t="shared" si="0"/>
        <v>43471</v>
      </c>
      <c r="B14" s="28">
        <v>0</v>
      </c>
      <c r="C14" s="28">
        <v>0</v>
      </c>
      <c r="D14" s="33">
        <f>IF((Januar[[#This Row],[Ende]]-Januar[[#This Row],[Beginn]])&lt;TIME(6,1,0),TIME(0,0,0),IF((Januar[[#This Row],[Ende]]-Januar[[#This Row],[Beginn]])&lt;TIME(9,31,0),Setup!$C$16,Setup!$C$17))</f>
        <v>0</v>
      </c>
      <c r="E14" s="31">
        <f>Januar[[#This Row],[Ende]]-Januar[[#This Row],[Beginn]]-Januar[[#This Row],[Pause]]</f>
        <v>0</v>
      </c>
      <c r="F14" s="33">
        <f>$F$6+SUM($E$8:Januar[[#This Row],[Arbeitszeit]])</f>
        <v>0</v>
      </c>
      <c r="G14" s="32"/>
      <c r="H14" s="35" t="e">
        <f>IF(ISNUMBER(MATCH(Januar[[#This Row],[Bemerkung]],Setup!$X$73:$X$86,0)),0,VLOOKUP(WEEKDAY(A14,2),Wochenzeiten[],3,0))</f>
        <v>#REF!</v>
      </c>
      <c r="I14" s="35" t="e">
        <f>IF(ISNUMBER(LOOKUP(Januar[[#This Row],[Bemerkung]],Setup!$X$71:$X79)),0,Januar[[#This Row],[Ende]]-Januar[[#This Row],[Beginn]]-Januar[[#This Row],[Pause]]-Januar[[#This Row],[Berechnungshilfe1]])</f>
        <v>#REF!</v>
      </c>
    </row>
    <row r="15" spans="1:15" ht="12.95" customHeight="1" x14ac:dyDescent="0.2">
      <c r="A15" s="29">
        <f t="shared" si="0"/>
        <v>43472</v>
      </c>
      <c r="B15" s="28">
        <v>0</v>
      </c>
      <c r="C15" s="28">
        <v>0</v>
      </c>
      <c r="D15" s="33">
        <f>IF((Januar[[#This Row],[Ende]]-Januar[[#This Row],[Beginn]])&lt;TIME(6,1,0),TIME(0,0,0),IF((Januar[[#This Row],[Ende]]-Januar[[#This Row],[Beginn]])&lt;TIME(9,31,0),Setup!$C$16,Setup!$C$17))</f>
        <v>0</v>
      </c>
      <c r="E15" s="31">
        <f>Januar[[#This Row],[Ende]]-Januar[[#This Row],[Beginn]]-Januar[[#This Row],[Pause]]</f>
        <v>0</v>
      </c>
      <c r="F15" s="33">
        <f>$F$6+SUM($E$8:Januar[[#This Row],[Arbeitszeit]])</f>
        <v>0</v>
      </c>
      <c r="G15" s="32"/>
      <c r="H15" s="35" t="e">
        <f>IF(ISNUMBER(MATCH(Januar[[#This Row],[Bemerkung]],Setup!$X$73:$X$86,0)),0,VLOOKUP(WEEKDAY(A15,2),Wochenzeiten[],3,0))</f>
        <v>#REF!</v>
      </c>
      <c r="I15" s="35" t="e">
        <f>IF(ISNUMBER(LOOKUP(Januar[[#This Row],[Bemerkung]],Setup!$X$71:$X80)),0,Januar[[#This Row],[Ende]]-Januar[[#This Row],[Beginn]]-Januar[[#This Row],[Pause]]-Januar[[#This Row],[Berechnungshilfe1]])</f>
        <v>#REF!</v>
      </c>
    </row>
    <row r="16" spans="1:15" ht="12.95" customHeight="1" x14ac:dyDescent="0.2">
      <c r="A16" s="29">
        <f t="shared" si="0"/>
        <v>43473</v>
      </c>
      <c r="B16" s="28">
        <v>0</v>
      </c>
      <c r="C16" s="28">
        <v>0</v>
      </c>
      <c r="D16" s="33">
        <f>IF((Januar[[#This Row],[Ende]]-Januar[[#This Row],[Beginn]])&lt;TIME(6,1,0),TIME(0,0,0),IF((Januar[[#This Row],[Ende]]-Januar[[#This Row],[Beginn]])&lt;TIME(9,31,0),Setup!$C$16,Setup!$C$17))</f>
        <v>0</v>
      </c>
      <c r="E16" s="31">
        <f>Januar[[#This Row],[Ende]]-Januar[[#This Row],[Beginn]]-Januar[[#This Row],[Pause]]</f>
        <v>0</v>
      </c>
      <c r="F16" s="33">
        <f>$F$6+SUM($E$8:Januar[[#This Row],[Arbeitszeit]])</f>
        <v>0</v>
      </c>
      <c r="G16" s="32"/>
      <c r="H16" s="35" t="e">
        <f>IF(ISNUMBER(MATCH(Januar[[#This Row],[Bemerkung]],Setup!$X$73:$X$86,0)),0,VLOOKUP(WEEKDAY(A16,2),Wochenzeiten[],3,0))</f>
        <v>#REF!</v>
      </c>
      <c r="I16" s="35" t="e">
        <f>IF(ISNUMBER(LOOKUP(Januar[[#This Row],[Bemerkung]],Setup!$X$71:$X81)),0,Januar[[#This Row],[Ende]]-Januar[[#This Row],[Beginn]]-Januar[[#This Row],[Pause]]-Januar[[#This Row],[Berechnungshilfe1]])</f>
        <v>#REF!</v>
      </c>
    </row>
    <row r="17" spans="1:9" ht="12.95" customHeight="1" x14ac:dyDescent="0.2">
      <c r="A17" s="29">
        <f t="shared" si="0"/>
        <v>43474</v>
      </c>
      <c r="B17" s="28">
        <v>0</v>
      </c>
      <c r="C17" s="28">
        <v>0</v>
      </c>
      <c r="D17" s="33">
        <f>IF((Januar[[#This Row],[Ende]]-Januar[[#This Row],[Beginn]])&lt;TIME(6,1,0),TIME(0,0,0),IF((Januar[[#This Row],[Ende]]-Januar[[#This Row],[Beginn]])&lt;TIME(9,31,0),Setup!$C$16,Setup!$C$17))</f>
        <v>0</v>
      </c>
      <c r="E17" s="31">
        <f>Januar[[#This Row],[Ende]]-Januar[[#This Row],[Beginn]]-Januar[[#This Row],[Pause]]</f>
        <v>0</v>
      </c>
      <c r="F17" s="33">
        <f>$F$6+SUM($E$8:Januar[[#This Row],[Arbeitszeit]])</f>
        <v>0</v>
      </c>
      <c r="G17" s="32"/>
      <c r="H17" s="35" t="e">
        <f>IF(ISNUMBER(MATCH(Januar[[#This Row],[Bemerkung]],Setup!$X$73:$X$86,0)),0,VLOOKUP(WEEKDAY(A17,2),Wochenzeiten[],3,0))</f>
        <v>#REF!</v>
      </c>
      <c r="I17" s="35" t="e">
        <f>IF(ISNUMBER(LOOKUP(Januar[[#This Row],[Bemerkung]],Setup!$X$71:$X82)),0,Januar[[#This Row],[Ende]]-Januar[[#This Row],[Beginn]]-Januar[[#This Row],[Pause]]-Januar[[#This Row],[Berechnungshilfe1]])</f>
        <v>#REF!</v>
      </c>
    </row>
    <row r="18" spans="1:9" ht="12.95" customHeight="1" x14ac:dyDescent="0.2">
      <c r="A18" s="29">
        <f t="shared" si="0"/>
        <v>43475</v>
      </c>
      <c r="B18" s="28">
        <v>0</v>
      </c>
      <c r="C18" s="28">
        <v>0</v>
      </c>
      <c r="D18" s="33">
        <f>IF((Januar[[#This Row],[Ende]]-Januar[[#This Row],[Beginn]])&lt;TIME(6,1,0),TIME(0,0,0),IF((Januar[[#This Row],[Ende]]-Januar[[#This Row],[Beginn]])&lt;TIME(9,31,0),Setup!$C$16,Setup!$C$17))</f>
        <v>0</v>
      </c>
      <c r="E18" s="31">
        <f>Januar[[#This Row],[Ende]]-Januar[[#This Row],[Beginn]]-Januar[[#This Row],[Pause]]</f>
        <v>0</v>
      </c>
      <c r="F18" s="33">
        <f>$F$6+SUM($E$8:Januar[[#This Row],[Arbeitszeit]])</f>
        <v>0</v>
      </c>
      <c r="G18" s="32"/>
      <c r="H18" s="35" t="e">
        <f>IF(ISNUMBER(MATCH(Januar[[#This Row],[Bemerkung]],Setup!$X$73:$X$86,0)),0,VLOOKUP(WEEKDAY(A18,2),Wochenzeiten[],3,0))</f>
        <v>#REF!</v>
      </c>
      <c r="I18" s="35" t="e">
        <f>IF(ISNUMBER(LOOKUP(Januar[[#This Row],[Bemerkung]],Setup!$X$71:$X83)),0,Januar[[#This Row],[Ende]]-Januar[[#This Row],[Beginn]]-Januar[[#This Row],[Pause]]-Januar[[#This Row],[Berechnungshilfe1]])</f>
        <v>#REF!</v>
      </c>
    </row>
    <row r="19" spans="1:9" ht="12.95" customHeight="1" x14ac:dyDescent="0.2">
      <c r="A19" s="29">
        <f t="shared" si="0"/>
        <v>43476</v>
      </c>
      <c r="B19" s="28">
        <v>0</v>
      </c>
      <c r="C19" s="28">
        <v>0</v>
      </c>
      <c r="D19" s="33">
        <f>IF((Januar[[#This Row],[Ende]]-Januar[[#This Row],[Beginn]])&lt;TIME(6,1,0),TIME(0,0,0),IF((Januar[[#This Row],[Ende]]-Januar[[#This Row],[Beginn]])&lt;TIME(9,31,0),Setup!$C$16,Setup!$C$17))</f>
        <v>0</v>
      </c>
      <c r="E19" s="31">
        <f>Januar[[#This Row],[Ende]]-Januar[[#This Row],[Beginn]]-Januar[[#This Row],[Pause]]</f>
        <v>0</v>
      </c>
      <c r="F19" s="33">
        <f>$F$6+SUM($E$8:Januar[[#This Row],[Arbeitszeit]])</f>
        <v>0</v>
      </c>
      <c r="G19" s="32"/>
      <c r="H19" s="35" t="e">
        <f>IF(ISNUMBER(MATCH(Januar[[#This Row],[Bemerkung]],Setup!$X$73:$X$86,0)),0,VLOOKUP(WEEKDAY(A19,2),Wochenzeiten[],3,0))</f>
        <v>#REF!</v>
      </c>
      <c r="I19" s="35" t="e">
        <f>IF(ISNUMBER(LOOKUP(Januar[[#This Row],[Bemerkung]],Setup!$X$71:$X84)),0,Januar[[#This Row],[Ende]]-Januar[[#This Row],[Beginn]]-Januar[[#This Row],[Pause]]-Januar[[#This Row],[Berechnungshilfe1]])</f>
        <v>#REF!</v>
      </c>
    </row>
    <row r="20" spans="1:9" ht="12.95" customHeight="1" x14ac:dyDescent="0.2">
      <c r="A20" s="29">
        <f t="shared" si="0"/>
        <v>43477</v>
      </c>
      <c r="B20" s="28">
        <v>0</v>
      </c>
      <c r="C20" s="28">
        <v>0</v>
      </c>
      <c r="D20" s="33">
        <f>IF((Januar[[#This Row],[Ende]]-Januar[[#This Row],[Beginn]])&lt;TIME(6,1,0),TIME(0,0,0),IF((Januar[[#This Row],[Ende]]-Januar[[#This Row],[Beginn]])&lt;TIME(9,31,0),Setup!$C$16,Setup!$C$17))</f>
        <v>0</v>
      </c>
      <c r="E20" s="31">
        <f>Januar[[#This Row],[Ende]]-Januar[[#This Row],[Beginn]]-Januar[[#This Row],[Pause]]</f>
        <v>0</v>
      </c>
      <c r="F20" s="33">
        <f>$F$6+SUM($E$8:Januar[[#This Row],[Arbeitszeit]])</f>
        <v>0</v>
      </c>
      <c r="G20" s="32"/>
      <c r="H20" s="35" t="e">
        <f>IF(ISNUMBER(MATCH(Januar[[#This Row],[Bemerkung]],Setup!$X$73:$X$86,0)),0,VLOOKUP(WEEKDAY(A20,2),Wochenzeiten[],3,0))</f>
        <v>#REF!</v>
      </c>
      <c r="I20" s="35" t="e">
        <f>IF(ISNUMBER(LOOKUP(Januar[[#This Row],[Bemerkung]],Setup!$X$71:$X85)),0,Januar[[#This Row],[Ende]]-Januar[[#This Row],[Beginn]]-Januar[[#This Row],[Pause]]-Januar[[#This Row],[Berechnungshilfe1]])</f>
        <v>#REF!</v>
      </c>
    </row>
    <row r="21" spans="1:9" ht="12.95" customHeight="1" x14ac:dyDescent="0.2">
      <c r="A21" s="29">
        <f t="shared" si="0"/>
        <v>43478</v>
      </c>
      <c r="B21" s="28">
        <v>0</v>
      </c>
      <c r="C21" s="28">
        <v>0</v>
      </c>
      <c r="D21" s="33">
        <f>IF((Januar[[#This Row],[Ende]]-Januar[[#This Row],[Beginn]])&lt;TIME(6,1,0),TIME(0,0,0),IF((Januar[[#This Row],[Ende]]-Januar[[#This Row],[Beginn]])&lt;TIME(9,31,0),Setup!$C$16,Setup!$C$17))</f>
        <v>0</v>
      </c>
      <c r="E21" s="31">
        <f>Januar[[#This Row],[Ende]]-Januar[[#This Row],[Beginn]]-Januar[[#This Row],[Pause]]</f>
        <v>0</v>
      </c>
      <c r="F21" s="33">
        <f>$F$6+SUM($E$8:Januar[[#This Row],[Arbeitszeit]])</f>
        <v>0</v>
      </c>
      <c r="G21" s="32"/>
      <c r="H21" s="35" t="e">
        <f>IF(ISNUMBER(MATCH(Januar[[#This Row],[Bemerkung]],Setup!$X$73:$X$86,0)),0,VLOOKUP(WEEKDAY(A21,2),Wochenzeiten[],3,0))</f>
        <v>#REF!</v>
      </c>
      <c r="I21" s="35" t="e">
        <f>IF(ISNUMBER(LOOKUP(Januar[[#This Row],[Bemerkung]],Setup!$X$71:$X86)),0,Januar[[#This Row],[Ende]]-Januar[[#This Row],[Beginn]]-Januar[[#This Row],[Pause]]-Januar[[#This Row],[Berechnungshilfe1]])</f>
        <v>#REF!</v>
      </c>
    </row>
    <row r="22" spans="1:9" ht="12.95" customHeight="1" x14ac:dyDescent="0.2">
      <c r="A22" s="29">
        <f t="shared" si="0"/>
        <v>43479</v>
      </c>
      <c r="B22" s="28">
        <v>0</v>
      </c>
      <c r="C22" s="28">
        <v>0</v>
      </c>
      <c r="D22" s="33">
        <f>IF((Januar[[#This Row],[Ende]]-Januar[[#This Row],[Beginn]])&lt;TIME(6,1,0),TIME(0,0,0),IF((Januar[[#This Row],[Ende]]-Januar[[#This Row],[Beginn]])&lt;TIME(9,31,0),Setup!$C$16,Setup!$C$17))</f>
        <v>0</v>
      </c>
      <c r="E22" s="31">
        <f>Januar[[#This Row],[Ende]]-Januar[[#This Row],[Beginn]]-Januar[[#This Row],[Pause]]</f>
        <v>0</v>
      </c>
      <c r="F22" s="33">
        <f>$F$6+SUM($E$8:Januar[[#This Row],[Arbeitszeit]])</f>
        <v>0</v>
      </c>
      <c r="G22" s="32"/>
      <c r="H22" s="35" t="e">
        <f>IF(ISNUMBER(MATCH(Januar[[#This Row],[Bemerkung]],Setup!$X$73:$X$86,0)),0,VLOOKUP(WEEKDAY(A22,2),Wochenzeiten[],3,0))</f>
        <v>#REF!</v>
      </c>
      <c r="I22" s="35" t="e">
        <f>IF(ISNUMBER(LOOKUP(Januar[[#This Row],[Bemerkung]],Setup!$X$71:$X87)),0,Januar[[#This Row],[Ende]]-Januar[[#This Row],[Beginn]]-Januar[[#This Row],[Pause]]-Januar[[#This Row],[Berechnungshilfe1]])</f>
        <v>#REF!</v>
      </c>
    </row>
    <row r="23" spans="1:9" ht="12.95" customHeight="1" x14ac:dyDescent="0.2">
      <c r="A23" s="29">
        <f t="shared" si="0"/>
        <v>43480</v>
      </c>
      <c r="B23" s="28">
        <v>0</v>
      </c>
      <c r="C23" s="28">
        <v>0</v>
      </c>
      <c r="D23" s="33">
        <f>IF((Januar[[#This Row],[Ende]]-Januar[[#This Row],[Beginn]])&lt;TIME(6,1,0),TIME(0,0,0),IF((Januar[[#This Row],[Ende]]-Januar[[#This Row],[Beginn]])&lt;TIME(9,31,0),Setup!$C$16,Setup!$C$17))</f>
        <v>0</v>
      </c>
      <c r="E23" s="31">
        <f>Januar[[#This Row],[Ende]]-Januar[[#This Row],[Beginn]]-Januar[[#This Row],[Pause]]</f>
        <v>0</v>
      </c>
      <c r="F23" s="33">
        <f>$F$6+SUM($E$8:Januar[[#This Row],[Arbeitszeit]])</f>
        <v>0</v>
      </c>
      <c r="G23" s="32"/>
      <c r="H23" s="35" t="e">
        <f>IF(ISNUMBER(MATCH(Januar[[#This Row],[Bemerkung]],Setup!$X$73:$X$86,0)),0,VLOOKUP(WEEKDAY(A23,2),Wochenzeiten[],3,0))</f>
        <v>#REF!</v>
      </c>
      <c r="I23" s="35" t="e">
        <f>IF(ISNUMBER(LOOKUP(Januar[[#This Row],[Bemerkung]],Setup!$X$71:$X87)),0,Januar[[#This Row],[Ende]]-Januar[[#This Row],[Beginn]]-Januar[[#This Row],[Pause]]-Januar[[#This Row],[Berechnungshilfe1]])</f>
        <v>#REF!</v>
      </c>
    </row>
    <row r="24" spans="1:9" ht="12.95" customHeight="1" x14ac:dyDescent="0.2">
      <c r="A24" s="29">
        <f t="shared" si="0"/>
        <v>43481</v>
      </c>
      <c r="B24" s="28">
        <v>0</v>
      </c>
      <c r="C24" s="28">
        <v>0</v>
      </c>
      <c r="D24" s="33">
        <f>IF((Januar[[#This Row],[Ende]]-Januar[[#This Row],[Beginn]])&lt;TIME(6,1,0),TIME(0,0,0),IF((Januar[[#This Row],[Ende]]-Januar[[#This Row],[Beginn]])&lt;TIME(9,31,0),Setup!$C$16,Setup!$C$17))</f>
        <v>0</v>
      </c>
      <c r="E24" s="31">
        <f>Januar[[#This Row],[Ende]]-Januar[[#This Row],[Beginn]]-Januar[[#This Row],[Pause]]</f>
        <v>0</v>
      </c>
      <c r="F24" s="33">
        <f>$F$6+SUM($E$8:Januar[[#This Row],[Arbeitszeit]])</f>
        <v>0</v>
      </c>
      <c r="G24" s="32"/>
      <c r="H24" s="35" t="e">
        <f>IF(ISNUMBER(MATCH(Januar[[#This Row],[Bemerkung]],Setup!$X$73:$X$86,0)),0,VLOOKUP(WEEKDAY(A24,2),Wochenzeiten[],3,0))</f>
        <v>#REF!</v>
      </c>
      <c r="I24" s="35" t="e">
        <f>IF(ISNUMBER(LOOKUP(Januar[[#This Row],[Bemerkung]],Setup!$X$71:$X88)),0,Januar[[#This Row],[Ende]]-Januar[[#This Row],[Beginn]]-Januar[[#This Row],[Pause]]-Januar[[#This Row],[Berechnungshilfe1]])</f>
        <v>#REF!</v>
      </c>
    </row>
    <row r="25" spans="1:9" ht="12.95" customHeight="1" x14ac:dyDescent="0.2">
      <c r="A25" s="29">
        <f t="shared" si="0"/>
        <v>43482</v>
      </c>
      <c r="B25" s="28">
        <v>0</v>
      </c>
      <c r="C25" s="28">
        <v>0</v>
      </c>
      <c r="D25" s="33">
        <f>IF((Januar[[#This Row],[Ende]]-Januar[[#This Row],[Beginn]])&lt;TIME(6,1,0),TIME(0,0,0),IF((Januar[[#This Row],[Ende]]-Januar[[#This Row],[Beginn]])&lt;TIME(9,31,0),Setup!$C$16,Setup!$C$17))</f>
        <v>0</v>
      </c>
      <c r="E25" s="31">
        <f>Januar[[#This Row],[Ende]]-Januar[[#This Row],[Beginn]]-Januar[[#This Row],[Pause]]</f>
        <v>0</v>
      </c>
      <c r="F25" s="33">
        <f>$F$6+SUM($E$8:Januar[[#This Row],[Arbeitszeit]])</f>
        <v>0</v>
      </c>
      <c r="G25" s="32"/>
      <c r="H25" s="35" t="e">
        <f>IF(ISNUMBER(MATCH(Januar[[#This Row],[Bemerkung]],Setup!$X$73:$X$86,0)),0,VLOOKUP(WEEKDAY(A25,2),Wochenzeiten[],3,0))</f>
        <v>#REF!</v>
      </c>
      <c r="I25" s="35" t="e">
        <f>IF(ISNUMBER(LOOKUP(Januar[[#This Row],[Bemerkung]],Setup!$X$71:$X89)),0,Januar[[#This Row],[Ende]]-Januar[[#This Row],[Beginn]]-Januar[[#This Row],[Pause]]-Januar[[#This Row],[Berechnungshilfe1]])</f>
        <v>#REF!</v>
      </c>
    </row>
    <row r="26" spans="1:9" ht="12.95" customHeight="1" x14ac:dyDescent="0.2">
      <c r="A26" s="29">
        <f t="shared" si="0"/>
        <v>43483</v>
      </c>
      <c r="B26" s="28">
        <v>0</v>
      </c>
      <c r="C26" s="28">
        <v>0</v>
      </c>
      <c r="D26" s="33">
        <f>IF((Januar[[#This Row],[Ende]]-Januar[[#This Row],[Beginn]])&lt;TIME(6,1,0),TIME(0,0,0),IF((Januar[[#This Row],[Ende]]-Januar[[#This Row],[Beginn]])&lt;TIME(9,31,0),Setup!$C$16,Setup!$C$17))</f>
        <v>0</v>
      </c>
      <c r="E26" s="31">
        <f>Januar[[#This Row],[Ende]]-Januar[[#This Row],[Beginn]]-Januar[[#This Row],[Pause]]</f>
        <v>0</v>
      </c>
      <c r="F26" s="33">
        <f>$F$6+SUM($E$8:Januar[[#This Row],[Arbeitszeit]])</f>
        <v>0</v>
      </c>
      <c r="G26" s="32"/>
      <c r="H26" s="35" t="e">
        <f>IF(ISNUMBER(MATCH(Januar[[#This Row],[Bemerkung]],Setup!$X$73:$X$86,0)),0,VLOOKUP(WEEKDAY(A26,2),Wochenzeiten[],3,0))</f>
        <v>#REF!</v>
      </c>
      <c r="I26" s="35" t="e">
        <f>IF(ISNUMBER(LOOKUP(Januar[[#This Row],[Bemerkung]],Setup!$X$71:$X90)),0,Januar[[#This Row],[Ende]]-Januar[[#This Row],[Beginn]]-Januar[[#This Row],[Pause]]-Januar[[#This Row],[Berechnungshilfe1]])</f>
        <v>#REF!</v>
      </c>
    </row>
    <row r="27" spans="1:9" ht="12.95" customHeight="1" x14ac:dyDescent="0.2">
      <c r="A27" s="29">
        <f t="shared" si="0"/>
        <v>43484</v>
      </c>
      <c r="B27" s="28">
        <v>0</v>
      </c>
      <c r="C27" s="28">
        <v>0</v>
      </c>
      <c r="D27" s="33">
        <f>IF((Januar[[#This Row],[Ende]]-Januar[[#This Row],[Beginn]])&lt;TIME(6,1,0),TIME(0,0,0),IF((Januar[[#This Row],[Ende]]-Januar[[#This Row],[Beginn]])&lt;TIME(9,31,0),Setup!$C$16,Setup!$C$17))</f>
        <v>0</v>
      </c>
      <c r="E27" s="31">
        <f>Januar[[#This Row],[Ende]]-Januar[[#This Row],[Beginn]]-Januar[[#This Row],[Pause]]</f>
        <v>0</v>
      </c>
      <c r="F27" s="33">
        <f>$F$6+SUM($E$8:Januar[[#This Row],[Arbeitszeit]])</f>
        <v>0</v>
      </c>
      <c r="G27" s="32"/>
      <c r="H27" s="35" t="e">
        <f>IF(ISNUMBER(MATCH(Januar[[#This Row],[Bemerkung]],Setup!$X$73:$X$86,0)),0,VLOOKUP(WEEKDAY(A27,2),Wochenzeiten[],3,0))</f>
        <v>#REF!</v>
      </c>
      <c r="I27" s="35" t="e">
        <f>IF(ISNUMBER(LOOKUP(Januar[[#This Row],[Bemerkung]],Setup!$X$71:$X91)),0,Januar[[#This Row],[Ende]]-Januar[[#This Row],[Beginn]]-Januar[[#This Row],[Pause]]-Januar[[#This Row],[Berechnungshilfe1]])</f>
        <v>#REF!</v>
      </c>
    </row>
    <row r="28" spans="1:9" ht="12.95" customHeight="1" x14ac:dyDescent="0.2">
      <c r="A28" s="29">
        <f t="shared" si="0"/>
        <v>43485</v>
      </c>
      <c r="B28" s="28">
        <v>0</v>
      </c>
      <c r="C28" s="28">
        <v>0</v>
      </c>
      <c r="D28" s="33">
        <f>IF((Januar[[#This Row],[Ende]]-Januar[[#This Row],[Beginn]])&lt;TIME(6,1,0),TIME(0,0,0),IF((Januar[[#This Row],[Ende]]-Januar[[#This Row],[Beginn]])&lt;TIME(9,31,0),Setup!$C$16,Setup!$C$17))</f>
        <v>0</v>
      </c>
      <c r="E28" s="31">
        <f>Januar[[#This Row],[Ende]]-Januar[[#This Row],[Beginn]]-Januar[[#This Row],[Pause]]</f>
        <v>0</v>
      </c>
      <c r="F28" s="33">
        <f>$F$6+SUM($E$8:Januar[[#This Row],[Arbeitszeit]])</f>
        <v>0</v>
      </c>
      <c r="G28" s="32"/>
      <c r="H28" s="35" t="e">
        <f>IF(ISNUMBER(MATCH(Januar[[#This Row],[Bemerkung]],Setup!$X$73:$X$86,0)),0,VLOOKUP(WEEKDAY(A28,2),Wochenzeiten[],3,0))</f>
        <v>#REF!</v>
      </c>
      <c r="I28" s="35" t="e">
        <f>IF(ISNUMBER(LOOKUP(Januar[[#This Row],[Bemerkung]],Setup!$X$71:$X92)),0,Januar[[#This Row],[Ende]]-Januar[[#This Row],[Beginn]]-Januar[[#This Row],[Pause]]-Januar[[#This Row],[Berechnungshilfe1]])</f>
        <v>#REF!</v>
      </c>
    </row>
    <row r="29" spans="1:9" ht="12.95" customHeight="1" x14ac:dyDescent="0.2">
      <c r="A29" s="29">
        <f t="shared" si="0"/>
        <v>43486</v>
      </c>
      <c r="B29" s="28">
        <v>0</v>
      </c>
      <c r="C29" s="28">
        <v>0</v>
      </c>
      <c r="D29" s="33">
        <f>IF((Januar[[#This Row],[Ende]]-Januar[[#This Row],[Beginn]])&lt;TIME(6,1,0),TIME(0,0,0),IF((Januar[[#This Row],[Ende]]-Januar[[#This Row],[Beginn]])&lt;TIME(9,31,0),Setup!$C$16,Setup!$C$17))</f>
        <v>0</v>
      </c>
      <c r="E29" s="31">
        <f>Januar[[#This Row],[Ende]]-Januar[[#This Row],[Beginn]]-Januar[[#This Row],[Pause]]</f>
        <v>0</v>
      </c>
      <c r="F29" s="33">
        <f>$F$6+SUM($E$8:Januar[[#This Row],[Arbeitszeit]])</f>
        <v>0</v>
      </c>
      <c r="G29" s="32"/>
      <c r="H29" s="35" t="e">
        <f>IF(ISNUMBER(MATCH(Januar[[#This Row],[Bemerkung]],Setup!$X$73:$X$86,0)),0,VLOOKUP(WEEKDAY(A29,2),Wochenzeiten[],3,0))</f>
        <v>#REF!</v>
      </c>
      <c r="I29" s="35" t="e">
        <f>IF(ISNUMBER(LOOKUP(Januar[[#This Row],[Bemerkung]],Setup!$X$71:$X93)),0,Januar[[#This Row],[Ende]]-Januar[[#This Row],[Beginn]]-Januar[[#This Row],[Pause]]-Januar[[#This Row],[Berechnungshilfe1]])</f>
        <v>#REF!</v>
      </c>
    </row>
    <row r="30" spans="1:9" ht="12.95" customHeight="1" x14ac:dyDescent="0.2">
      <c r="A30" s="29">
        <f t="shared" si="0"/>
        <v>43487</v>
      </c>
      <c r="B30" s="28">
        <v>0</v>
      </c>
      <c r="C30" s="28">
        <v>0</v>
      </c>
      <c r="D30" s="33">
        <f>IF((Januar[[#This Row],[Ende]]-Januar[[#This Row],[Beginn]])&lt;TIME(6,1,0),TIME(0,0,0),IF((Januar[[#This Row],[Ende]]-Januar[[#This Row],[Beginn]])&lt;TIME(9,31,0),Setup!$C$16,Setup!$C$17))</f>
        <v>0</v>
      </c>
      <c r="E30" s="31">
        <f>Januar[[#This Row],[Ende]]-Januar[[#This Row],[Beginn]]-Januar[[#This Row],[Pause]]</f>
        <v>0</v>
      </c>
      <c r="F30" s="33">
        <f>$F$6+SUM($E$8:Januar[[#This Row],[Arbeitszeit]])</f>
        <v>0</v>
      </c>
      <c r="G30" s="32"/>
      <c r="H30" s="35" t="e">
        <f>IF(ISNUMBER(MATCH(Januar[[#This Row],[Bemerkung]],Setup!$X$73:$X$86,0)),0,VLOOKUP(WEEKDAY(A30,2),Wochenzeiten[],3,0))</f>
        <v>#REF!</v>
      </c>
      <c r="I30" s="35" t="e">
        <f>IF(ISNUMBER(LOOKUP(Januar[[#This Row],[Bemerkung]],Setup!$X$71:$X94)),0,Januar[[#This Row],[Ende]]-Januar[[#This Row],[Beginn]]-Januar[[#This Row],[Pause]]-Januar[[#This Row],[Berechnungshilfe1]])</f>
        <v>#REF!</v>
      </c>
    </row>
    <row r="31" spans="1:9" ht="12.95" customHeight="1" x14ac:dyDescent="0.2">
      <c r="A31" s="29">
        <f t="shared" si="0"/>
        <v>43488</v>
      </c>
      <c r="B31" s="28">
        <v>0</v>
      </c>
      <c r="C31" s="28">
        <v>0</v>
      </c>
      <c r="D31" s="33">
        <f>IF((Januar[[#This Row],[Ende]]-Januar[[#This Row],[Beginn]])&lt;TIME(6,1,0),TIME(0,0,0),IF((Januar[[#This Row],[Ende]]-Januar[[#This Row],[Beginn]])&lt;TIME(9,31,0),Setup!$C$16,Setup!$C$17))</f>
        <v>0</v>
      </c>
      <c r="E31" s="31">
        <f>Januar[[#This Row],[Ende]]-Januar[[#This Row],[Beginn]]-Januar[[#This Row],[Pause]]</f>
        <v>0</v>
      </c>
      <c r="F31" s="33">
        <f>$F$6+SUM($E$8:Januar[[#This Row],[Arbeitszeit]])</f>
        <v>0</v>
      </c>
      <c r="G31" s="32"/>
      <c r="H31" s="35" t="e">
        <f>IF(ISNUMBER(MATCH(Januar[[#This Row],[Bemerkung]],Setup!$X$73:$X$86,0)),0,VLOOKUP(WEEKDAY(A31,2),Wochenzeiten[],3,0))</f>
        <v>#REF!</v>
      </c>
      <c r="I31" s="35" t="e">
        <f>IF(ISNUMBER(LOOKUP(Januar[[#This Row],[Bemerkung]],Setup!$X$71:$X95)),0,Januar[[#This Row],[Ende]]-Januar[[#This Row],[Beginn]]-Januar[[#This Row],[Pause]]-Januar[[#This Row],[Berechnungshilfe1]])</f>
        <v>#REF!</v>
      </c>
    </row>
    <row r="32" spans="1:9" ht="12.95" customHeight="1" x14ac:dyDescent="0.2">
      <c r="A32" s="29">
        <f t="shared" si="0"/>
        <v>43489</v>
      </c>
      <c r="B32" s="28">
        <v>0</v>
      </c>
      <c r="C32" s="28">
        <v>0</v>
      </c>
      <c r="D32" s="33">
        <f>IF((Januar[[#This Row],[Ende]]-Januar[[#This Row],[Beginn]])&lt;TIME(6,1,0),TIME(0,0,0),IF((Januar[[#This Row],[Ende]]-Januar[[#This Row],[Beginn]])&lt;TIME(9,31,0),Setup!$C$16,Setup!$C$17))</f>
        <v>0</v>
      </c>
      <c r="E32" s="31">
        <f>Januar[[#This Row],[Ende]]-Januar[[#This Row],[Beginn]]-Januar[[#This Row],[Pause]]</f>
        <v>0</v>
      </c>
      <c r="F32" s="33">
        <f>$F$6+SUM($E$8:Januar[[#This Row],[Arbeitszeit]])</f>
        <v>0</v>
      </c>
      <c r="G32" s="32"/>
      <c r="H32" s="35" t="e">
        <f>IF(ISNUMBER(MATCH(Januar[[#This Row],[Bemerkung]],Setup!$X$73:$X$86,0)),0,VLOOKUP(WEEKDAY(A32,2),Wochenzeiten[],3,0))</f>
        <v>#REF!</v>
      </c>
      <c r="I32" s="35" t="e">
        <f>IF(ISNUMBER(LOOKUP(Januar[[#This Row],[Bemerkung]],Setup!$X$71:$X96)),0,Januar[[#This Row],[Ende]]-Januar[[#This Row],[Beginn]]-Januar[[#This Row],[Pause]]-Januar[[#This Row],[Berechnungshilfe1]])</f>
        <v>#REF!</v>
      </c>
    </row>
    <row r="33" spans="1:9" ht="12.95" customHeight="1" x14ac:dyDescent="0.2">
      <c r="A33" s="29">
        <f t="shared" si="0"/>
        <v>43490</v>
      </c>
      <c r="B33" s="28">
        <v>0</v>
      </c>
      <c r="C33" s="28">
        <v>0</v>
      </c>
      <c r="D33" s="33">
        <f>IF((Januar[[#This Row],[Ende]]-Januar[[#This Row],[Beginn]])&lt;TIME(6,1,0),TIME(0,0,0),IF((Januar[[#This Row],[Ende]]-Januar[[#This Row],[Beginn]])&lt;TIME(9,31,0),Setup!$C$16,Setup!$C$17))</f>
        <v>0</v>
      </c>
      <c r="E33" s="31">
        <f>Januar[[#This Row],[Ende]]-Januar[[#This Row],[Beginn]]-Januar[[#This Row],[Pause]]</f>
        <v>0</v>
      </c>
      <c r="F33" s="33">
        <f>$F$6+SUM($E$8:Januar[[#This Row],[Arbeitszeit]])</f>
        <v>0</v>
      </c>
      <c r="G33" s="32"/>
      <c r="H33" s="35" t="e">
        <f>IF(ISNUMBER(MATCH(Januar[[#This Row],[Bemerkung]],Setup!$X$73:$X$86,0)),0,VLOOKUP(WEEKDAY(A33,2),Wochenzeiten[],3,0))</f>
        <v>#REF!</v>
      </c>
      <c r="I33" s="35" t="e">
        <f>IF(ISNUMBER(LOOKUP(Januar[[#This Row],[Bemerkung]],Setup!$X$71:$X97)),0,Januar[[#This Row],[Ende]]-Januar[[#This Row],[Beginn]]-Januar[[#This Row],[Pause]]-Januar[[#This Row],[Berechnungshilfe1]])</f>
        <v>#REF!</v>
      </c>
    </row>
    <row r="34" spans="1:9" ht="12.95" customHeight="1" x14ac:dyDescent="0.2">
      <c r="A34" s="29">
        <f t="shared" si="0"/>
        <v>43491</v>
      </c>
      <c r="B34" s="28">
        <v>0</v>
      </c>
      <c r="C34" s="28">
        <v>0</v>
      </c>
      <c r="D34" s="33">
        <f>IF((Januar[[#This Row],[Ende]]-Januar[[#This Row],[Beginn]])&lt;TIME(6,1,0),TIME(0,0,0),IF((Januar[[#This Row],[Ende]]-Januar[[#This Row],[Beginn]])&lt;TIME(9,31,0),Setup!$C$16,Setup!$C$17))</f>
        <v>0</v>
      </c>
      <c r="E34" s="31">
        <f>Januar[[#This Row],[Ende]]-Januar[[#This Row],[Beginn]]-Januar[[#This Row],[Pause]]</f>
        <v>0</v>
      </c>
      <c r="F34" s="33">
        <f>$F$6+SUM($E$8:Januar[[#This Row],[Arbeitszeit]])</f>
        <v>0</v>
      </c>
      <c r="G34" s="32"/>
      <c r="H34" s="35" t="e">
        <f>IF(ISNUMBER(MATCH(Januar[[#This Row],[Bemerkung]],Setup!$X$73:$X$86,0)),0,VLOOKUP(WEEKDAY(A34,2),Wochenzeiten[],3,0))</f>
        <v>#REF!</v>
      </c>
      <c r="I34" s="35" t="e">
        <f>IF(ISNUMBER(LOOKUP(Januar[[#This Row],[Bemerkung]],Setup!$X$71:$X98)),0,Januar[[#This Row],[Ende]]-Januar[[#This Row],[Beginn]]-Januar[[#This Row],[Pause]]-Januar[[#This Row],[Berechnungshilfe1]])</f>
        <v>#REF!</v>
      </c>
    </row>
    <row r="35" spans="1:9" ht="12.75" customHeight="1" x14ac:dyDescent="0.2">
      <c r="A35" s="29">
        <f t="shared" si="0"/>
        <v>43492</v>
      </c>
      <c r="B35" s="28">
        <v>0</v>
      </c>
      <c r="C35" s="28">
        <v>0</v>
      </c>
      <c r="D35" s="33">
        <f>IF((Januar[[#This Row],[Ende]]-Januar[[#This Row],[Beginn]])&lt;TIME(6,1,0),TIME(0,0,0),IF((Januar[[#This Row],[Ende]]-Januar[[#This Row],[Beginn]])&lt;TIME(9,31,0),Setup!$C$16,Setup!$C$17))</f>
        <v>0</v>
      </c>
      <c r="E35" s="31">
        <f>Januar[[#This Row],[Ende]]-Januar[[#This Row],[Beginn]]-Januar[[#This Row],[Pause]]</f>
        <v>0</v>
      </c>
      <c r="F35" s="33">
        <f>$F$6+SUM($E$8:Januar[[#This Row],[Arbeitszeit]])</f>
        <v>0</v>
      </c>
      <c r="G35" s="32"/>
      <c r="H35" s="35" t="e">
        <f>IF(ISNUMBER(MATCH(Januar[[#This Row],[Bemerkung]],Setup!$X$73:$X$86,0)),0,VLOOKUP(WEEKDAY(A35,2),Wochenzeiten[],3,0))</f>
        <v>#REF!</v>
      </c>
      <c r="I35" s="35" t="e">
        <f>IF(ISNUMBER(LOOKUP(Januar[[#This Row],[Bemerkung]],Setup!$X$71:$X99)),0,Januar[[#This Row],[Ende]]-Januar[[#This Row],[Beginn]]-Januar[[#This Row],[Pause]]-Januar[[#This Row],[Berechnungshilfe1]])</f>
        <v>#REF!</v>
      </c>
    </row>
    <row r="36" spans="1:9" ht="12.75" customHeight="1" x14ac:dyDescent="0.2">
      <c r="A36" s="29">
        <f t="shared" si="0"/>
        <v>43493</v>
      </c>
      <c r="B36" s="28">
        <v>0</v>
      </c>
      <c r="C36" s="28">
        <v>0</v>
      </c>
      <c r="D36" s="33">
        <f>IF((Januar[[#This Row],[Ende]]-Januar[[#This Row],[Beginn]])&lt;TIME(6,1,0),TIME(0,0,0),IF((Januar[[#This Row],[Ende]]-Januar[[#This Row],[Beginn]])&lt;TIME(9,31,0),Setup!$C$16,Setup!$C$17))</f>
        <v>0</v>
      </c>
      <c r="E36" s="31">
        <f>Januar[[#This Row],[Ende]]-Januar[[#This Row],[Beginn]]-Januar[[#This Row],[Pause]]</f>
        <v>0</v>
      </c>
      <c r="F36" s="33">
        <f>$F$6+SUM($E$8:Januar[[#This Row],[Arbeitszeit]])</f>
        <v>0</v>
      </c>
      <c r="G36" s="32"/>
      <c r="H36" s="35" t="e">
        <f>IF(ISNUMBER(MATCH(Januar[[#This Row],[Bemerkung]],Setup!$X$73:$X$86,0)),0,VLOOKUP(WEEKDAY(A36,2),Wochenzeiten[],3,0))</f>
        <v>#REF!</v>
      </c>
      <c r="I36" s="35" t="e">
        <f>IF(ISNUMBER(LOOKUP(Januar[[#This Row],[Bemerkung]],Setup!$X$71:$X100)),0,Januar[[#This Row],[Ende]]-Januar[[#This Row],[Beginn]]-Januar[[#This Row],[Pause]]-Januar[[#This Row],[Berechnungshilfe1]])</f>
        <v>#REF!</v>
      </c>
    </row>
    <row r="37" spans="1:9" ht="12.75" customHeight="1" x14ac:dyDescent="0.2">
      <c r="A37" s="29">
        <f t="shared" si="0"/>
        <v>43494</v>
      </c>
      <c r="B37" s="28">
        <v>0</v>
      </c>
      <c r="C37" s="28">
        <v>0</v>
      </c>
      <c r="D37" s="33">
        <f>IF((Januar[[#This Row],[Ende]]-Januar[[#This Row],[Beginn]])&lt;TIME(6,1,0),TIME(0,0,0),IF((Januar[[#This Row],[Ende]]-Januar[[#This Row],[Beginn]])&lt;TIME(9,31,0),Setup!$C$16,Setup!$C$17))</f>
        <v>0</v>
      </c>
      <c r="E37" s="31">
        <f>Januar[[#This Row],[Ende]]-Januar[[#This Row],[Beginn]]-Januar[[#This Row],[Pause]]</f>
        <v>0</v>
      </c>
      <c r="F37" s="33">
        <f>$F$6+SUM($E$8:Januar[[#This Row],[Arbeitszeit]])</f>
        <v>0</v>
      </c>
      <c r="G37" s="32"/>
      <c r="H37" s="35" t="e">
        <f>IF(ISNUMBER(MATCH(Januar[[#This Row],[Bemerkung]],Setup!$X$73:$X$86,0)),0,VLOOKUP(WEEKDAY(A37,2),Wochenzeiten[],3,0))</f>
        <v>#REF!</v>
      </c>
      <c r="I37" s="35" t="e">
        <f>IF(ISNUMBER(LOOKUP(Januar[[#This Row],[Bemerkung]],Setup!$X$71:$X101)),0,Januar[[#This Row],[Ende]]-Januar[[#This Row],[Beginn]]-Januar[[#This Row],[Pause]]-Januar[[#This Row],[Berechnungshilfe1]])</f>
        <v>#REF!</v>
      </c>
    </row>
    <row r="38" spans="1:9" ht="12.75" customHeight="1" x14ac:dyDescent="0.2">
      <c r="A38" s="29">
        <f t="shared" si="0"/>
        <v>43495</v>
      </c>
      <c r="B38" s="28">
        <v>0</v>
      </c>
      <c r="C38" s="28">
        <v>0</v>
      </c>
      <c r="D38" s="33">
        <f>IF((Januar[[#This Row],[Ende]]-Januar[[#This Row],[Beginn]])&lt;TIME(6,1,0),TIME(0,0,0),IF((Januar[[#This Row],[Ende]]-Januar[[#This Row],[Beginn]])&lt;TIME(9,31,0),Setup!$C$16,Setup!$C$17))</f>
        <v>0</v>
      </c>
      <c r="E38" s="31">
        <f>Januar[[#This Row],[Ende]]-Januar[[#This Row],[Beginn]]-Januar[[#This Row],[Pause]]</f>
        <v>0</v>
      </c>
      <c r="F38" s="33">
        <f>$F$6+SUM($E$8:Januar[[#This Row],[Arbeitszeit]])</f>
        <v>0</v>
      </c>
      <c r="G38" s="32"/>
      <c r="H38" s="35" t="e">
        <f>IF(ISNUMBER(MATCH(Januar[[#This Row],[Bemerkung]],Setup!$X$73:$X$86,0)),0,VLOOKUP(WEEKDAY(A38,2),Wochenzeiten[],3,0))</f>
        <v>#REF!</v>
      </c>
      <c r="I38" s="35" t="e">
        <f>IF(ISNUMBER(LOOKUP(Januar[[#This Row],[Bemerkung]],Setup!$X$71:$X102)),0,Januar[[#This Row],[Ende]]-Januar[[#This Row],[Beginn]]-Januar[[#This Row],[Pause]]-Januar[[#This Row],[Berechnungshilfe1]])</f>
        <v>#REF!</v>
      </c>
    </row>
    <row r="39" spans="1:9" ht="12.75" customHeight="1" x14ac:dyDescent="0.2">
      <c r="A39" s="36"/>
      <c r="B39" s="36"/>
      <c r="C39" s="68" t="s">
        <v>64</v>
      </c>
      <c r="D39" s="68"/>
      <c r="E39" s="68"/>
      <c r="F39" s="37">
        <f>SUM(Januar[Arbeitszeit])+$F$6-E47</f>
        <v>-1.6666666666666667</v>
      </c>
      <c r="G39" s="38"/>
    </row>
    <row r="40" spans="1:9" ht="12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4.1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.95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" customHeight="1" x14ac:dyDescent="0.2">
      <c r="A47" s="65" t="s">
        <v>73</v>
      </c>
      <c r="B47" s="65"/>
      <c r="C47" s="65"/>
      <c r="D47" s="43"/>
      <c r="E47" s="45">
        <f>Setup!C14</f>
        <v>1.6666666666666667</v>
      </c>
      <c r="F47" s="40"/>
      <c r="G47" s="43"/>
    </row>
    <row r="48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23" priority="2">
      <formula>WEEKDAY($A8,2)&gt;5</formula>
    </cfRule>
    <cfRule type="cellIs" dxfId="22" priority="3" operator="equal">
      <formula>0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11.25" style="19" customWidth="1"/>
    <col min="6" max="6" width="16.1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DATE(Setup!C13,2,1)</f>
        <v>43496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46">
        <f>Januar!F39</f>
        <v>-1.6666666666666667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29">
        <f>F4</f>
        <v>43496</v>
      </c>
      <c r="B8" s="28">
        <v>0</v>
      </c>
      <c r="C8" s="28">
        <v>0</v>
      </c>
      <c r="D8" s="47">
        <f>IF((Februar[[#This Row],[Ende]]-Februar[[#This Row],[Beginn]])&lt;TIME(6,1,0),TIME(0,0,0),IF((Februar[[#This Row],[Ende]]-Februar[[#This Row],[Beginn]])&lt;TIME(9,31,0),Setup!$C$16,Setup!$C$17))</f>
        <v>0</v>
      </c>
      <c r="E8" s="31">
        <f>Februar[[#This Row],[Ende]]-Februar[[#This Row],[Beginn]]-Februar[[#This Row],[Pause]]</f>
        <v>0</v>
      </c>
      <c r="F8" s="33">
        <f>$F$6+SUM($E$8:Februar[[#This Row],[Arbeitszeit]])</f>
        <v>-1.6666666666666667</v>
      </c>
      <c r="G8" s="32"/>
      <c r="H8" s="35" t="e">
        <f>IF(ISNUMBER(MATCH(Februar!$G8,Setup!$X$73:$X$86,0)),0,VLOOKUP(WEEKDAY(A8,2),Wochenzeiten[],3,0))</f>
        <v>#REF!</v>
      </c>
      <c r="I8" s="35" t="e">
        <f>IF(ISNUMBER(LOOKUP(Februar!$G8,Setup!$X$71:$X72)),0,Februar!$C8-Februar!$B8-Februar!$D8-#REF!)</f>
        <v>#REF!</v>
      </c>
    </row>
    <row r="9" spans="1:15" ht="12.95" customHeight="1" x14ac:dyDescent="0.2">
      <c r="A9" s="29">
        <f t="shared" ref="A9:A35" si="0">A8+1</f>
        <v>43497</v>
      </c>
      <c r="B9" s="28">
        <v>0</v>
      </c>
      <c r="C9" s="28">
        <v>0</v>
      </c>
      <c r="D9" s="47">
        <f>IF((Februar[[#This Row],[Ende]]-Februar[[#This Row],[Beginn]])&lt;TIME(6,1,0),TIME(0,0,0),IF((Februar[[#This Row],[Ende]]-Februar[[#This Row],[Beginn]])&lt;TIME(9,31,0),Setup!$C$16,Setup!$C$17))</f>
        <v>0</v>
      </c>
      <c r="E9" s="31">
        <f>Februar[[#This Row],[Ende]]-Februar[[#This Row],[Beginn]]-Februar[[#This Row],[Pause]]</f>
        <v>0</v>
      </c>
      <c r="F9" s="33">
        <f>$F$6+SUM($E$8:Februar[[#This Row],[Arbeitszeit]])</f>
        <v>-1.6666666666666667</v>
      </c>
      <c r="G9" s="32"/>
      <c r="H9" s="35" t="e">
        <f>IF(ISNUMBER(MATCH(Februar!$G9,Setup!$X$73:$X$86,0)),0,VLOOKUP(WEEKDAY(A9,2),Wochenzeiten[],3,0))</f>
        <v>#REF!</v>
      </c>
      <c r="I9" s="35" t="e">
        <f>IF(ISNUMBER(LOOKUP(Februar!$G9,Setup!$X$71:$X73)),0,Februar!$C9-Februar!$B9-Februar!$D9-#REF!)</f>
        <v>#REF!</v>
      </c>
    </row>
    <row r="10" spans="1:15" ht="12.95" customHeight="1" x14ac:dyDescent="0.2">
      <c r="A10" s="29">
        <f t="shared" si="0"/>
        <v>43498</v>
      </c>
      <c r="B10" s="28">
        <v>0</v>
      </c>
      <c r="C10" s="28">
        <v>0</v>
      </c>
      <c r="D10" s="47">
        <f>IF((Februar!$C10-Februar!$B10)&lt;TIME(6,1,0),TIME(0,0,0),IF((Februar!$C10-Februar!$B10)&lt;TIME(9,31,0),Setup!$C$16,Setup!$C$17))</f>
        <v>0</v>
      </c>
      <c r="E10" s="31">
        <f>Februar[[#This Row],[Ende]]-Februar[[#This Row],[Beginn]]-Februar[[#This Row],[Pause]]</f>
        <v>0</v>
      </c>
      <c r="F10" s="33">
        <f>$F$6+SUM($E$8:Februar[[#This Row],[Arbeitszeit]])</f>
        <v>-1.6666666666666667</v>
      </c>
      <c r="G10" s="32"/>
      <c r="H10" s="35" t="e">
        <f>IF(ISNUMBER(MATCH(Februar!$G10,Setup!$X$73:$X$86,0)),0,VLOOKUP(WEEKDAY(A10,2),Wochenzeiten[],3,0))</f>
        <v>#REF!</v>
      </c>
      <c r="I10" s="35" t="e">
        <f>IF(ISNUMBER(LOOKUP(Februar!$G10,Setup!$X$71:$X74)),0,Februar!$C10-Februar!$B10-Februar!$D10-#REF!)</f>
        <v>#REF!</v>
      </c>
    </row>
    <row r="11" spans="1:15" ht="12.95" customHeight="1" x14ac:dyDescent="0.2">
      <c r="A11" s="29">
        <f t="shared" si="0"/>
        <v>43499</v>
      </c>
      <c r="B11" s="28">
        <v>0</v>
      </c>
      <c r="C11" s="28">
        <v>0</v>
      </c>
      <c r="D11" s="47">
        <f>IF((Februar!$C11-Februar!$B11)&lt;TIME(6,1,0),TIME(0,0,0),IF((Februar!$C11-Februar!$B11)&lt;TIME(9,31,0),Setup!$C$16,Setup!$C$17))</f>
        <v>0</v>
      </c>
      <c r="E11" s="31">
        <f>Februar[[#This Row],[Ende]]-Februar[[#This Row],[Beginn]]-Februar[[#This Row],[Pause]]</f>
        <v>0</v>
      </c>
      <c r="F11" s="33">
        <f>$F$6+SUM($E$8:Februar[[#This Row],[Arbeitszeit]])</f>
        <v>-1.6666666666666667</v>
      </c>
      <c r="G11" s="32"/>
      <c r="H11" s="35" t="e">
        <f>IF(ISNUMBER(MATCH(Februar!$G11,Setup!$X$73:$X$86,0)),0,VLOOKUP(WEEKDAY(A11,2),Wochenzeiten[],3,0))</f>
        <v>#REF!</v>
      </c>
      <c r="I11" s="35" t="e">
        <f>IF(ISNUMBER(LOOKUP(Februar!$G11,Setup!$X$71:$X75)),0,Februar!$C11-Februar!$B11-Februar!$D11-#REF!)</f>
        <v>#REF!</v>
      </c>
    </row>
    <row r="12" spans="1:15" ht="12.95" customHeight="1" x14ac:dyDescent="0.2">
      <c r="A12" s="29">
        <f t="shared" si="0"/>
        <v>43500</v>
      </c>
      <c r="B12" s="28">
        <v>0</v>
      </c>
      <c r="C12" s="28">
        <v>0</v>
      </c>
      <c r="D12" s="47">
        <f>IF((Februar!$C12-Februar!$B12)&lt;TIME(6,1,0),TIME(0,0,0),IF((Februar!$C12-Februar!$B12)&lt;TIME(9,31,0),Setup!$C$16,Setup!$C$17))</f>
        <v>0</v>
      </c>
      <c r="E12" s="31">
        <f>Februar[[#This Row],[Ende]]-Februar[[#This Row],[Beginn]]-Februar[[#This Row],[Pause]]</f>
        <v>0</v>
      </c>
      <c r="F12" s="33">
        <f>$F$6+SUM($E$8:Februar[[#This Row],[Arbeitszeit]])</f>
        <v>-1.6666666666666667</v>
      </c>
      <c r="G12" s="32"/>
      <c r="H12" s="35" t="e">
        <f>IF(ISNUMBER(MATCH(Februar!$G12,Setup!$X$73:$X$86,0)),0,VLOOKUP(WEEKDAY(A12,2),Wochenzeiten[],3,0))</f>
        <v>#REF!</v>
      </c>
      <c r="I12" s="35" t="e">
        <f>IF(ISNUMBER(LOOKUP(Februar!$G12,Setup!$X$71:$X76)),0,Februar!$C12-Februar!$B12-Februar!$D12-#REF!)</f>
        <v>#REF!</v>
      </c>
    </row>
    <row r="13" spans="1:15" ht="12.95" customHeight="1" x14ac:dyDescent="0.2">
      <c r="A13" s="29">
        <f t="shared" si="0"/>
        <v>43501</v>
      </c>
      <c r="B13" s="28">
        <v>0</v>
      </c>
      <c r="C13" s="28">
        <v>0</v>
      </c>
      <c r="D13" s="47">
        <f>IF((Februar!$C13-Februar!$B13)&lt;TIME(6,1,0),TIME(0,0,0),IF((Februar!$C13-Februar!$B13)&lt;TIME(9,31,0),Setup!$C$16,Setup!$C$17))</f>
        <v>0</v>
      </c>
      <c r="E13" s="31">
        <f>Februar[[#This Row],[Ende]]-Februar[[#This Row],[Beginn]]-Februar[[#This Row],[Pause]]</f>
        <v>0</v>
      </c>
      <c r="F13" s="33">
        <f>$F$6+SUM($E$8:Februar[[#This Row],[Arbeitszeit]])</f>
        <v>-1.6666666666666667</v>
      </c>
      <c r="G13" s="32"/>
      <c r="H13" s="35" t="e">
        <f>IF(ISNUMBER(MATCH(Februar!$G13,Setup!$X$73:$X$86,0)),0,VLOOKUP(WEEKDAY(A13,2),Wochenzeiten[],3,0))</f>
        <v>#REF!</v>
      </c>
      <c r="I13" s="35" t="e">
        <f>IF(ISNUMBER(LOOKUP(Februar!$G13,Setup!$X$71:$X77)),0,Februar!$C13-Februar!$B13-Februar!$D13-#REF!)</f>
        <v>#REF!</v>
      </c>
    </row>
    <row r="14" spans="1:15" ht="12.95" customHeight="1" x14ac:dyDescent="0.2">
      <c r="A14" s="29">
        <f t="shared" si="0"/>
        <v>43502</v>
      </c>
      <c r="B14" s="28">
        <v>0</v>
      </c>
      <c r="C14" s="28">
        <v>0</v>
      </c>
      <c r="D14" s="47">
        <f>IF((Februar!$C14-Februar!$B14)&lt;TIME(6,1,0),TIME(0,0,0),IF((Februar!$C14-Februar!$B14)&lt;TIME(9,31,0),Setup!$C$16,Setup!$C$17))</f>
        <v>0</v>
      </c>
      <c r="E14" s="31">
        <f>Februar[[#This Row],[Ende]]-Februar[[#This Row],[Beginn]]-Februar[[#This Row],[Pause]]</f>
        <v>0</v>
      </c>
      <c r="F14" s="33">
        <f>$F$6+SUM($E$8:Februar[[#This Row],[Arbeitszeit]])</f>
        <v>-1.6666666666666667</v>
      </c>
      <c r="G14" s="32"/>
      <c r="H14" s="35" t="e">
        <f>IF(ISNUMBER(MATCH(Februar!$G14,Setup!$X$73:$X$86,0)),0,VLOOKUP(WEEKDAY(A14,2),Wochenzeiten[],3,0))</f>
        <v>#REF!</v>
      </c>
      <c r="I14" s="35" t="e">
        <f>IF(ISNUMBER(LOOKUP(Februar!$G14,Setup!$X$71:$X79)),0,Februar!$C14-Februar!$B14-Februar!$D14-#REF!)</f>
        <v>#REF!</v>
      </c>
    </row>
    <row r="15" spans="1:15" ht="12.95" customHeight="1" x14ac:dyDescent="0.2">
      <c r="A15" s="29">
        <f t="shared" si="0"/>
        <v>43503</v>
      </c>
      <c r="B15" s="28">
        <v>0</v>
      </c>
      <c r="C15" s="28">
        <v>0</v>
      </c>
      <c r="D15" s="47">
        <f>IF((Februar!$C15-Februar!$B15)&lt;TIME(6,1,0),TIME(0,0,0),IF((Februar!$C15-Februar!$B15)&lt;TIME(9,31,0),Setup!$C$16,Setup!$C$17))</f>
        <v>0</v>
      </c>
      <c r="E15" s="31">
        <f>Februar[[#This Row],[Ende]]-Februar[[#This Row],[Beginn]]-Februar[[#This Row],[Pause]]</f>
        <v>0</v>
      </c>
      <c r="F15" s="33">
        <f>$F$6+SUM($E$8:Februar[[#This Row],[Arbeitszeit]])</f>
        <v>-1.6666666666666667</v>
      </c>
      <c r="G15" s="32"/>
      <c r="H15" s="35" t="e">
        <f>IF(ISNUMBER(MATCH(Februar!$G15,Setup!$X$73:$X$86,0)),0,VLOOKUP(WEEKDAY(A15,2),Wochenzeiten[],3,0))</f>
        <v>#REF!</v>
      </c>
      <c r="I15" s="35" t="e">
        <f>IF(ISNUMBER(LOOKUP(Februar!$G15,Setup!$X$71:$X80)),0,Februar!$C15-Februar!$B15-Februar!$D15-#REF!)</f>
        <v>#REF!</v>
      </c>
    </row>
    <row r="16" spans="1:15" ht="12.95" customHeight="1" x14ac:dyDescent="0.2">
      <c r="A16" s="29">
        <f t="shared" si="0"/>
        <v>43504</v>
      </c>
      <c r="B16" s="28">
        <v>0</v>
      </c>
      <c r="C16" s="28">
        <v>0</v>
      </c>
      <c r="D16" s="47">
        <f>IF((Februar!$C16-Februar!$B16)&lt;TIME(6,1,0),TIME(0,0,0),IF((Februar!$C16-Februar!$B16)&lt;TIME(9,31,0),Setup!$C$16,Setup!$C$17))</f>
        <v>0</v>
      </c>
      <c r="E16" s="31">
        <f>Februar[[#This Row],[Ende]]-Februar[[#This Row],[Beginn]]-Februar[[#This Row],[Pause]]</f>
        <v>0</v>
      </c>
      <c r="F16" s="33">
        <f>$F$6+SUM($E$8:Februar[[#This Row],[Arbeitszeit]])</f>
        <v>-1.6666666666666667</v>
      </c>
      <c r="G16" s="32"/>
      <c r="H16" s="35" t="e">
        <f>IF(ISNUMBER(MATCH(Februar!$G16,Setup!$X$73:$X$86,0)),0,VLOOKUP(WEEKDAY(A16,2),Wochenzeiten[],3,0))</f>
        <v>#REF!</v>
      </c>
      <c r="I16" s="35" t="e">
        <f>IF(ISNUMBER(LOOKUP(Februar!$G16,Setup!$X$71:$X81)),0,Februar!$C16-Februar!$B16-Februar!$D16-#REF!)</f>
        <v>#REF!</v>
      </c>
    </row>
    <row r="17" spans="1:9" ht="12.95" customHeight="1" x14ac:dyDescent="0.2">
      <c r="A17" s="29">
        <f t="shared" si="0"/>
        <v>43505</v>
      </c>
      <c r="B17" s="28">
        <v>0</v>
      </c>
      <c r="C17" s="28">
        <v>0</v>
      </c>
      <c r="D17" s="47">
        <f>IF((Februar!$C17-Februar!$B17)&lt;TIME(6,1,0),TIME(0,0,0),IF((Februar!$C17-Februar!$B17)&lt;TIME(9,31,0),Setup!$C$16,Setup!$C$17))</f>
        <v>0</v>
      </c>
      <c r="E17" s="31">
        <f>Februar[[#This Row],[Ende]]-Februar[[#This Row],[Beginn]]-Februar[[#This Row],[Pause]]</f>
        <v>0</v>
      </c>
      <c r="F17" s="33">
        <f>$F$6+SUM($E$8:Februar[[#This Row],[Arbeitszeit]])</f>
        <v>-1.6666666666666667</v>
      </c>
      <c r="G17" s="32"/>
      <c r="H17" s="35" t="e">
        <f>IF(ISNUMBER(MATCH(Februar!$G17,Setup!$X$73:$X$86,0)),0,VLOOKUP(WEEKDAY(A17,2),Wochenzeiten[],3,0))</f>
        <v>#REF!</v>
      </c>
      <c r="I17" s="35" t="e">
        <f>IF(ISNUMBER(LOOKUP(Februar!$G17,Setup!$X$71:$X82)),0,Februar!$C17-Februar!$B17-Februar!$D17-#REF!)</f>
        <v>#REF!</v>
      </c>
    </row>
    <row r="18" spans="1:9" ht="12.95" customHeight="1" x14ac:dyDescent="0.2">
      <c r="A18" s="29">
        <f t="shared" si="0"/>
        <v>43506</v>
      </c>
      <c r="B18" s="28">
        <v>0</v>
      </c>
      <c r="C18" s="28">
        <v>0</v>
      </c>
      <c r="D18" s="47">
        <f>IF((Februar!$C18-Februar!$B18)&lt;TIME(6,1,0),TIME(0,0,0),IF((Februar!$C18-Februar!$B18)&lt;TIME(9,31,0),Setup!$C$16,Setup!$C$17))</f>
        <v>0</v>
      </c>
      <c r="E18" s="31">
        <f>Februar[[#This Row],[Ende]]-Februar[[#This Row],[Beginn]]-Februar[[#This Row],[Pause]]</f>
        <v>0</v>
      </c>
      <c r="F18" s="33">
        <f>$F$6+SUM($E$8:Februar[[#This Row],[Arbeitszeit]])</f>
        <v>-1.6666666666666667</v>
      </c>
      <c r="G18" s="32"/>
      <c r="H18" s="35" t="e">
        <f>IF(ISNUMBER(MATCH(Februar!$G18,Setup!$X$73:$X$86,0)),0,VLOOKUP(WEEKDAY(A18,2),Wochenzeiten[],3,0))</f>
        <v>#REF!</v>
      </c>
      <c r="I18" s="35" t="e">
        <f>IF(ISNUMBER(LOOKUP(Februar!$G18,Setup!$X$71:$X83)),0,Februar!$C18-Februar!$B18-Februar!$D18-#REF!)</f>
        <v>#REF!</v>
      </c>
    </row>
    <row r="19" spans="1:9" ht="12.95" customHeight="1" x14ac:dyDescent="0.2">
      <c r="A19" s="29">
        <f t="shared" si="0"/>
        <v>43507</v>
      </c>
      <c r="B19" s="28">
        <v>0</v>
      </c>
      <c r="C19" s="28">
        <v>0</v>
      </c>
      <c r="D19" s="47">
        <f>IF((Februar!$C19-Februar!$B19)&lt;TIME(6,1,0),TIME(0,0,0),IF((Februar!$C19-Februar!$B19)&lt;TIME(9,31,0),Setup!$C$16,Setup!$C$17))</f>
        <v>0</v>
      </c>
      <c r="E19" s="31">
        <f>Februar[[#This Row],[Ende]]-Februar[[#This Row],[Beginn]]-Februar[[#This Row],[Pause]]</f>
        <v>0</v>
      </c>
      <c r="F19" s="33">
        <f>$F$6+SUM($E$8:Februar[[#This Row],[Arbeitszeit]])</f>
        <v>-1.6666666666666667</v>
      </c>
      <c r="G19" s="32"/>
      <c r="H19" s="35" t="e">
        <f>IF(ISNUMBER(MATCH(Februar!$G19,Setup!$X$73:$X$86,0)),0,VLOOKUP(WEEKDAY(A19,2),Wochenzeiten[],3,0))</f>
        <v>#REF!</v>
      </c>
      <c r="I19" s="35" t="e">
        <f>IF(ISNUMBER(LOOKUP(Februar!$G19,Setup!$X$71:$X84)),0,Februar!$C19-Februar!$B19-Februar!$D19-#REF!)</f>
        <v>#REF!</v>
      </c>
    </row>
    <row r="20" spans="1:9" ht="12.95" customHeight="1" x14ac:dyDescent="0.2">
      <c r="A20" s="29">
        <f t="shared" si="0"/>
        <v>43508</v>
      </c>
      <c r="B20" s="28">
        <v>0</v>
      </c>
      <c r="C20" s="28">
        <v>0</v>
      </c>
      <c r="D20" s="47">
        <f>IF((Februar!$C20-Februar!$B20)&lt;TIME(6,1,0),TIME(0,0,0),IF((Februar!$C20-Februar!$B20)&lt;TIME(9,31,0),Setup!$C$16,Setup!$C$17))</f>
        <v>0</v>
      </c>
      <c r="E20" s="31">
        <f>Februar[[#This Row],[Ende]]-Februar[[#This Row],[Beginn]]-Februar[[#This Row],[Pause]]</f>
        <v>0</v>
      </c>
      <c r="F20" s="33">
        <f>$F$6+SUM($E$8:Februar[[#This Row],[Arbeitszeit]])</f>
        <v>-1.6666666666666667</v>
      </c>
      <c r="G20" s="32"/>
      <c r="H20" s="35" t="e">
        <f>IF(ISNUMBER(MATCH(Februar!$G20,Setup!$X$73:$X$86,0)),0,VLOOKUP(WEEKDAY(A20,2),Wochenzeiten[],3,0))</f>
        <v>#REF!</v>
      </c>
      <c r="I20" s="35" t="e">
        <f>IF(ISNUMBER(LOOKUP(Februar!$G20,Setup!$X$71:$X85)),0,Februar!$C20-Februar!$B20-Februar!$D20-#REF!)</f>
        <v>#REF!</v>
      </c>
    </row>
    <row r="21" spans="1:9" ht="12.95" customHeight="1" x14ac:dyDescent="0.2">
      <c r="A21" s="29">
        <f t="shared" si="0"/>
        <v>43509</v>
      </c>
      <c r="B21" s="28">
        <v>0</v>
      </c>
      <c r="C21" s="28">
        <v>0</v>
      </c>
      <c r="D21" s="47">
        <f>IF((Februar!$C21-Februar!$B21)&lt;TIME(6,1,0),TIME(0,0,0),IF((Februar!$C21-Februar!$B21)&lt;TIME(9,31,0),Setup!$C$16,Setup!$C$17))</f>
        <v>0</v>
      </c>
      <c r="E21" s="31">
        <f>Februar[[#This Row],[Ende]]-Februar[[#This Row],[Beginn]]-Februar[[#This Row],[Pause]]</f>
        <v>0</v>
      </c>
      <c r="F21" s="33">
        <f>$F$6+SUM($E$8:Februar[[#This Row],[Arbeitszeit]])</f>
        <v>-1.6666666666666667</v>
      </c>
      <c r="G21" s="32"/>
      <c r="H21" s="35" t="e">
        <f>IF(ISNUMBER(MATCH(Februar!$G21,Setup!$X$73:$X$86,0)),0,VLOOKUP(WEEKDAY(A21,2),Wochenzeiten[],3,0))</f>
        <v>#REF!</v>
      </c>
      <c r="I21" s="35" t="e">
        <f>IF(ISNUMBER(LOOKUP(Februar!$G21,Setup!$X$71:$X86)),0,Februar!$C21-Februar!$B21-Februar!$D21-#REF!)</f>
        <v>#REF!</v>
      </c>
    </row>
    <row r="22" spans="1:9" ht="12.95" customHeight="1" x14ac:dyDescent="0.2">
      <c r="A22" s="29">
        <f t="shared" si="0"/>
        <v>43510</v>
      </c>
      <c r="B22" s="28">
        <v>0</v>
      </c>
      <c r="C22" s="28">
        <v>0</v>
      </c>
      <c r="D22" s="47">
        <f>IF((Februar!$C22-Februar!$B22)&lt;TIME(6,1,0),TIME(0,0,0),IF((Februar!$C22-Februar!$B22)&lt;TIME(9,31,0),Setup!$C$16,Setup!$C$17))</f>
        <v>0</v>
      </c>
      <c r="E22" s="31">
        <f>Februar[[#This Row],[Ende]]-Februar[[#This Row],[Beginn]]-Februar[[#This Row],[Pause]]</f>
        <v>0</v>
      </c>
      <c r="F22" s="33">
        <f>$F$6+SUM($E$8:Februar[[#This Row],[Arbeitszeit]])</f>
        <v>-1.6666666666666667</v>
      </c>
      <c r="G22" s="32"/>
      <c r="H22" s="35" t="e">
        <f>IF(ISNUMBER(MATCH(Februar!$G22,Setup!$X$73:$X$86,0)),0,VLOOKUP(WEEKDAY(A22,2),Wochenzeiten[],3,0))</f>
        <v>#REF!</v>
      </c>
      <c r="I22" s="35" t="e">
        <f>IF(ISNUMBER(LOOKUP(Februar!$G22,Setup!$X$71:$X87)),0,Februar!$C22-Februar!$B22-Februar!$D22-#REF!)</f>
        <v>#REF!</v>
      </c>
    </row>
    <row r="23" spans="1:9" ht="12.95" customHeight="1" x14ac:dyDescent="0.2">
      <c r="A23" s="29">
        <f t="shared" si="0"/>
        <v>43511</v>
      </c>
      <c r="B23" s="28">
        <v>0</v>
      </c>
      <c r="C23" s="28">
        <v>0</v>
      </c>
      <c r="D23" s="47">
        <f>IF((Februar!$C23-Februar!$B23)&lt;TIME(6,1,0),TIME(0,0,0),IF((Februar!$C23-Februar!$B23)&lt;TIME(9,31,0),Setup!$C$16,Setup!$C$17))</f>
        <v>0</v>
      </c>
      <c r="E23" s="31">
        <f>Februar[[#This Row],[Ende]]-Februar[[#This Row],[Beginn]]-Februar[[#This Row],[Pause]]</f>
        <v>0</v>
      </c>
      <c r="F23" s="33">
        <f>$F$6+SUM($E$8:Februar[[#This Row],[Arbeitszeit]])</f>
        <v>-1.6666666666666667</v>
      </c>
      <c r="G23" s="32"/>
      <c r="H23" s="35" t="e">
        <f>IF(ISNUMBER(MATCH(Februar!$G23,Setup!$X$73:$X$86,0)),0,VLOOKUP(WEEKDAY(A23,2),Wochenzeiten[],3,0))</f>
        <v>#REF!</v>
      </c>
      <c r="I23" s="35" t="e">
        <f>IF(ISNUMBER(LOOKUP(Februar!$G23,Setup!$X$71:$X87)),0,Februar!$C23-Februar!$B23-Februar!$D23-#REF!)</f>
        <v>#REF!</v>
      </c>
    </row>
    <row r="24" spans="1:9" ht="12.95" customHeight="1" x14ac:dyDescent="0.2">
      <c r="A24" s="29">
        <f t="shared" si="0"/>
        <v>43512</v>
      </c>
      <c r="B24" s="28">
        <v>0</v>
      </c>
      <c r="C24" s="28">
        <v>0</v>
      </c>
      <c r="D24" s="47">
        <f>IF((Februar!$C24-Februar!$B24)&lt;TIME(6,1,0),TIME(0,0,0),IF((Februar!$C24-Februar!$B24)&lt;TIME(9,31,0),Setup!$C$16,Setup!$C$17))</f>
        <v>0</v>
      </c>
      <c r="E24" s="31">
        <f>Februar[[#This Row],[Ende]]-Februar[[#This Row],[Beginn]]-Februar[[#This Row],[Pause]]</f>
        <v>0</v>
      </c>
      <c r="F24" s="33">
        <f>$F$6+SUM($E$8:Februar[[#This Row],[Arbeitszeit]])</f>
        <v>-1.6666666666666667</v>
      </c>
      <c r="G24" s="32"/>
      <c r="H24" s="35" t="e">
        <f>IF(ISNUMBER(MATCH(Februar!$G24,Setup!$X$73:$X$86,0)),0,VLOOKUP(WEEKDAY(A24,2),Wochenzeiten[],3,0))</f>
        <v>#REF!</v>
      </c>
      <c r="I24" s="35" t="e">
        <f>IF(ISNUMBER(LOOKUP(Februar!$G24,Setup!$X$71:$X88)),0,Februar!$C24-Februar!$B24-Februar!$D24-#REF!)</f>
        <v>#REF!</v>
      </c>
    </row>
    <row r="25" spans="1:9" ht="12.95" customHeight="1" x14ac:dyDescent="0.2">
      <c r="A25" s="29">
        <f t="shared" si="0"/>
        <v>43513</v>
      </c>
      <c r="B25" s="28">
        <v>0</v>
      </c>
      <c r="C25" s="28">
        <v>0</v>
      </c>
      <c r="D25" s="47">
        <f>IF((Februar!$C25-Februar!$B25)&lt;TIME(6,1,0),TIME(0,0,0),IF((Februar!$C25-Februar!$B25)&lt;TIME(9,31,0),Setup!$C$16,Setup!$C$17))</f>
        <v>0</v>
      </c>
      <c r="E25" s="31">
        <f>Februar[[#This Row],[Ende]]-Februar[[#This Row],[Beginn]]-Februar[[#This Row],[Pause]]</f>
        <v>0</v>
      </c>
      <c r="F25" s="33">
        <f>$F$6+SUM($E$8:Februar[[#This Row],[Arbeitszeit]])</f>
        <v>-1.6666666666666667</v>
      </c>
      <c r="G25" s="32"/>
      <c r="H25" s="35" t="e">
        <f>IF(ISNUMBER(MATCH(Februar!$G25,Setup!$X$73:$X$86,0)),0,VLOOKUP(WEEKDAY(A25,2),Wochenzeiten[],3,0))</f>
        <v>#REF!</v>
      </c>
      <c r="I25" s="35" t="e">
        <f>IF(ISNUMBER(LOOKUP(Februar!$G25,Setup!$X$71:$X89)),0,Februar!$C25-Februar!$B25-Februar!$D25-#REF!)</f>
        <v>#REF!</v>
      </c>
    </row>
    <row r="26" spans="1:9" ht="12.95" customHeight="1" x14ac:dyDescent="0.2">
      <c r="A26" s="29">
        <f t="shared" si="0"/>
        <v>43514</v>
      </c>
      <c r="B26" s="28">
        <v>0</v>
      </c>
      <c r="C26" s="28">
        <v>0</v>
      </c>
      <c r="D26" s="47">
        <f>IF((Februar!$C26-Februar!$B26)&lt;TIME(6,1,0),TIME(0,0,0),IF((Februar!$C26-Februar!$B26)&lt;TIME(9,31,0),Setup!$C$16,Setup!$C$17))</f>
        <v>0</v>
      </c>
      <c r="E26" s="31">
        <f>Februar[[#This Row],[Ende]]-Februar[[#This Row],[Beginn]]-Februar[[#This Row],[Pause]]</f>
        <v>0</v>
      </c>
      <c r="F26" s="33">
        <f>$F$6+SUM($E$8:Februar[[#This Row],[Arbeitszeit]])</f>
        <v>-1.6666666666666667</v>
      </c>
      <c r="G26" s="32"/>
      <c r="H26" s="35" t="e">
        <f>IF(ISNUMBER(MATCH(Februar!$G26,Setup!$X$73:$X$86,0)),0,VLOOKUP(WEEKDAY(A26,2),Wochenzeiten[],3,0))</f>
        <v>#REF!</v>
      </c>
      <c r="I26" s="35" t="e">
        <f>IF(ISNUMBER(LOOKUP(Februar!$G26,Setup!$X$71:$X90)),0,Februar!$C26-Februar!$B26-Februar!$D26-#REF!)</f>
        <v>#REF!</v>
      </c>
    </row>
    <row r="27" spans="1:9" ht="12.95" customHeight="1" x14ac:dyDescent="0.2">
      <c r="A27" s="29">
        <f t="shared" si="0"/>
        <v>43515</v>
      </c>
      <c r="B27" s="28">
        <v>0</v>
      </c>
      <c r="C27" s="28">
        <v>0</v>
      </c>
      <c r="D27" s="47">
        <f>IF((Februar!$C27-Februar!$B27)&lt;TIME(6,1,0),TIME(0,0,0),IF((Februar!$C27-Februar!$B27)&lt;TIME(9,31,0),Setup!$C$16,Setup!$C$17))</f>
        <v>0</v>
      </c>
      <c r="E27" s="31">
        <f>Februar[[#This Row],[Ende]]-Februar[[#This Row],[Beginn]]-Februar[[#This Row],[Pause]]</f>
        <v>0</v>
      </c>
      <c r="F27" s="33">
        <f>$F$6+SUM($E$8:Februar[[#This Row],[Arbeitszeit]])</f>
        <v>-1.6666666666666667</v>
      </c>
      <c r="G27" s="32"/>
      <c r="H27" s="35" t="e">
        <f>IF(ISNUMBER(MATCH(Februar!$G27,Setup!$X$73:$X$86,0)),0,VLOOKUP(WEEKDAY(A27,2),Wochenzeiten[],3,0))</f>
        <v>#REF!</v>
      </c>
      <c r="I27" s="35" t="e">
        <f>IF(ISNUMBER(LOOKUP(Februar!$G27,Setup!$X$71:$X91)),0,Februar!$C27-Februar!$B27-Februar!$D27-#REF!)</f>
        <v>#REF!</v>
      </c>
    </row>
    <row r="28" spans="1:9" ht="12.95" customHeight="1" x14ac:dyDescent="0.2">
      <c r="A28" s="29">
        <f t="shared" si="0"/>
        <v>43516</v>
      </c>
      <c r="B28" s="28">
        <v>0</v>
      </c>
      <c r="C28" s="28">
        <v>0</v>
      </c>
      <c r="D28" s="47">
        <f>IF((Februar!$C28-Februar!$B28)&lt;TIME(6,1,0),TIME(0,0,0),IF((Februar!$C28-Februar!$B28)&lt;TIME(9,31,0),Setup!$C$16,Setup!$C$17))</f>
        <v>0</v>
      </c>
      <c r="E28" s="31">
        <f>Februar[[#This Row],[Ende]]-Februar[[#This Row],[Beginn]]-Februar[[#This Row],[Pause]]</f>
        <v>0</v>
      </c>
      <c r="F28" s="33">
        <f>$F$6+SUM($E$8:Februar[[#This Row],[Arbeitszeit]])</f>
        <v>-1.6666666666666667</v>
      </c>
      <c r="G28" s="32"/>
      <c r="H28" s="35" t="e">
        <f>IF(ISNUMBER(MATCH(Februar!$G28,Setup!$X$73:$X$86,0)),0,VLOOKUP(WEEKDAY(A28,2),Wochenzeiten[],3,0))</f>
        <v>#REF!</v>
      </c>
      <c r="I28" s="35" t="e">
        <f>IF(ISNUMBER(LOOKUP(Februar!$G28,Setup!$X$71:$X92)),0,Februar!$C28-Februar!$B28-Februar!$D28-#REF!)</f>
        <v>#REF!</v>
      </c>
    </row>
    <row r="29" spans="1:9" ht="12.95" customHeight="1" x14ac:dyDescent="0.2">
      <c r="A29" s="29">
        <f t="shared" si="0"/>
        <v>43517</v>
      </c>
      <c r="B29" s="28">
        <v>0</v>
      </c>
      <c r="C29" s="28">
        <v>0</v>
      </c>
      <c r="D29" s="47">
        <f>IF((Februar!$C29-Februar!$B29)&lt;TIME(6,1,0),TIME(0,0,0),IF((Februar!$C29-Februar!$B29)&lt;TIME(9,31,0),Setup!$C$16,Setup!$C$17))</f>
        <v>0</v>
      </c>
      <c r="E29" s="31">
        <f>Februar[[#This Row],[Ende]]-Februar[[#This Row],[Beginn]]-Februar[[#This Row],[Pause]]</f>
        <v>0</v>
      </c>
      <c r="F29" s="33">
        <f>$F$6+SUM($E$8:Februar[[#This Row],[Arbeitszeit]])</f>
        <v>-1.6666666666666667</v>
      </c>
      <c r="G29" s="32"/>
      <c r="H29" s="35" t="e">
        <f>IF(ISNUMBER(MATCH(Februar!$G29,Setup!$X$73:$X$86,0)),0,VLOOKUP(WEEKDAY(A29,2),Wochenzeiten[],3,0))</f>
        <v>#REF!</v>
      </c>
      <c r="I29" s="35" t="e">
        <f>IF(ISNUMBER(LOOKUP(Februar!$G29,Setup!$X$71:$X93)),0,Februar!$C29-Februar!$B29-Februar!$D29-#REF!)</f>
        <v>#REF!</v>
      </c>
    </row>
    <row r="30" spans="1:9" ht="12.95" customHeight="1" x14ac:dyDescent="0.2">
      <c r="A30" s="29">
        <f t="shared" si="0"/>
        <v>43518</v>
      </c>
      <c r="B30" s="28">
        <v>0</v>
      </c>
      <c r="C30" s="28">
        <v>0</v>
      </c>
      <c r="D30" s="47">
        <f>IF((Februar!$C30-Februar!$B30)&lt;TIME(6,1,0),TIME(0,0,0),IF((Februar!$C30-Februar!$B30)&lt;TIME(9,31,0),Setup!$C$16,Setup!$C$17))</f>
        <v>0</v>
      </c>
      <c r="E30" s="31">
        <f>Februar[[#This Row],[Ende]]-Februar[[#This Row],[Beginn]]-Februar[[#This Row],[Pause]]</f>
        <v>0</v>
      </c>
      <c r="F30" s="33">
        <f>$F$6+SUM($E$8:Februar[[#This Row],[Arbeitszeit]])</f>
        <v>-1.6666666666666667</v>
      </c>
      <c r="G30" s="32"/>
      <c r="H30" s="35" t="e">
        <f>IF(ISNUMBER(MATCH(Februar!$G30,Setup!$X$73:$X$86,0)),0,VLOOKUP(WEEKDAY(A30,2),Wochenzeiten[],3,0))</f>
        <v>#REF!</v>
      </c>
      <c r="I30" s="35" t="e">
        <f>IF(ISNUMBER(LOOKUP(Februar!$G30,Setup!$X$71:$X94)),0,Februar!$C30-Februar!$B30-Februar!$D30-#REF!)</f>
        <v>#REF!</v>
      </c>
    </row>
    <row r="31" spans="1:9" ht="12.95" customHeight="1" x14ac:dyDescent="0.2">
      <c r="A31" s="29">
        <f t="shared" si="0"/>
        <v>43519</v>
      </c>
      <c r="B31" s="28">
        <v>0</v>
      </c>
      <c r="C31" s="28">
        <v>0</v>
      </c>
      <c r="D31" s="47">
        <f>IF((Februar!$C31-Februar!$B31)&lt;TIME(6,1,0),TIME(0,0,0),IF((Februar!$C31-Februar!$B31)&lt;TIME(9,31,0),Setup!$C$16,Setup!$C$17))</f>
        <v>0</v>
      </c>
      <c r="E31" s="31">
        <f>Februar[[#This Row],[Ende]]-Februar[[#This Row],[Beginn]]-Februar[[#This Row],[Pause]]</f>
        <v>0</v>
      </c>
      <c r="F31" s="33">
        <f>$F$6+SUM($E$8:Februar[[#This Row],[Arbeitszeit]])</f>
        <v>-1.6666666666666667</v>
      </c>
      <c r="G31" s="32"/>
      <c r="H31" s="35" t="e">
        <f>IF(ISNUMBER(MATCH(Februar!$G31,Setup!$X$73:$X$86,0)),0,VLOOKUP(WEEKDAY(A31,2),Wochenzeiten[],3,0))</f>
        <v>#REF!</v>
      </c>
      <c r="I31" s="35" t="e">
        <f>IF(ISNUMBER(LOOKUP(Februar!$G31,Setup!$X$71:$X95)),0,Februar!$C31-Februar!$B31-Februar!$D31-#REF!)</f>
        <v>#REF!</v>
      </c>
    </row>
    <row r="32" spans="1:9" ht="12.95" customHeight="1" x14ac:dyDescent="0.2">
      <c r="A32" s="29">
        <f t="shared" si="0"/>
        <v>43520</v>
      </c>
      <c r="B32" s="28">
        <v>0</v>
      </c>
      <c r="C32" s="28">
        <v>0</v>
      </c>
      <c r="D32" s="47">
        <f>IF((Februar!$C32-Februar!$B32)&lt;TIME(6,1,0),TIME(0,0,0),IF((Februar!$C32-Februar!$B32)&lt;TIME(9,31,0),Setup!$C$16,Setup!$C$17))</f>
        <v>0</v>
      </c>
      <c r="E32" s="31">
        <f>Februar[[#This Row],[Ende]]-Februar[[#This Row],[Beginn]]-Februar[[#This Row],[Pause]]</f>
        <v>0</v>
      </c>
      <c r="F32" s="33">
        <f>$F$6+SUM($E$8:Februar[[#This Row],[Arbeitszeit]])</f>
        <v>-1.6666666666666667</v>
      </c>
      <c r="G32" s="32"/>
      <c r="H32" s="35" t="e">
        <f>IF(ISNUMBER(MATCH(Februar!$G32,Setup!$X$73:$X$86,0)),0,VLOOKUP(WEEKDAY(A32,2),Wochenzeiten[],3,0))</f>
        <v>#REF!</v>
      </c>
      <c r="I32" s="35" t="e">
        <f>IF(ISNUMBER(LOOKUP(Februar!$G32,Setup!$X$71:$X96)),0,Februar!$C32-Februar!$B32-Februar!$D32-#REF!)</f>
        <v>#REF!</v>
      </c>
    </row>
    <row r="33" spans="1:9" ht="12.95" customHeight="1" x14ac:dyDescent="0.2">
      <c r="A33" s="29">
        <f t="shared" si="0"/>
        <v>43521</v>
      </c>
      <c r="B33" s="28">
        <v>0</v>
      </c>
      <c r="C33" s="28">
        <v>0</v>
      </c>
      <c r="D33" s="47">
        <f>IF((Februar!$C33-Februar!$B33)&lt;TIME(6,1,0),TIME(0,0,0),IF((Februar!$C33-Februar!$B33)&lt;TIME(9,31,0),Setup!$C$16,Setup!$C$17))</f>
        <v>0</v>
      </c>
      <c r="E33" s="31">
        <f>Februar[[#This Row],[Ende]]-Februar[[#This Row],[Beginn]]-Februar[[#This Row],[Pause]]</f>
        <v>0</v>
      </c>
      <c r="F33" s="33">
        <f>$F$6+SUM($E$8:Februar[[#This Row],[Arbeitszeit]])</f>
        <v>-1.6666666666666667</v>
      </c>
      <c r="G33" s="32"/>
      <c r="H33" s="35" t="e">
        <f>IF(ISNUMBER(MATCH(Februar!$G33,Setup!$X$73:$X$86,0)),0,VLOOKUP(WEEKDAY(A33,2),Wochenzeiten[],3,0))</f>
        <v>#REF!</v>
      </c>
      <c r="I33" s="35" t="e">
        <f>IF(ISNUMBER(LOOKUP(Februar!$G33,Setup!$X$71:$X97)),0,Februar!$C33-Februar!$B33-Februar!$D33-#REF!)</f>
        <v>#REF!</v>
      </c>
    </row>
    <row r="34" spans="1:9" ht="12.95" customHeight="1" x14ac:dyDescent="0.2">
      <c r="A34" s="29">
        <f t="shared" si="0"/>
        <v>43522</v>
      </c>
      <c r="B34" s="28">
        <v>0</v>
      </c>
      <c r="C34" s="28">
        <v>0</v>
      </c>
      <c r="D34" s="47">
        <f>IF((Februar!$C34-Februar!$B34)&lt;TIME(6,1,0),TIME(0,0,0),IF((Februar!$C34-Februar!$B34)&lt;TIME(9,31,0),Setup!$C$16,Setup!$C$17))</f>
        <v>0</v>
      </c>
      <c r="E34" s="31">
        <f>Februar[[#This Row],[Ende]]-Februar[[#This Row],[Beginn]]-Februar[[#This Row],[Pause]]</f>
        <v>0</v>
      </c>
      <c r="F34" s="33">
        <f>$F$6+SUM($E$8:Februar[[#This Row],[Arbeitszeit]])</f>
        <v>-1.6666666666666667</v>
      </c>
      <c r="G34" s="32"/>
      <c r="H34" s="35" t="e">
        <f>IF(ISNUMBER(MATCH(Februar!$G34,Setup!$X$73:$X$86,0)),0,VLOOKUP(WEEKDAY(A34,2),Wochenzeiten[],3,0))</f>
        <v>#REF!</v>
      </c>
      <c r="I34" s="35" t="e">
        <f>IF(ISNUMBER(LOOKUP(Februar!$G34,Setup!$X$71:$X98)),0,Februar!$C34-Februar!$B34-Februar!$D34-#REF!)</f>
        <v>#REF!</v>
      </c>
    </row>
    <row r="35" spans="1:9" ht="12.75" customHeight="1" x14ac:dyDescent="0.2">
      <c r="A35" s="29">
        <f t="shared" si="0"/>
        <v>43523</v>
      </c>
      <c r="B35" s="28">
        <v>0</v>
      </c>
      <c r="C35" s="28">
        <v>0</v>
      </c>
      <c r="D35" s="47">
        <f>IF((Februar!$C35-Februar!$B35)&lt;TIME(6,1,0),TIME(0,0,0),IF((Februar!$C35-Februar!$B35)&lt;TIME(9,31,0),Setup!$C$16,Setup!$C$17))</f>
        <v>0</v>
      </c>
      <c r="E35" s="31">
        <f>Februar[[#This Row],[Ende]]-Februar[[#This Row],[Beginn]]-Februar[[#This Row],[Pause]]</f>
        <v>0</v>
      </c>
      <c r="F35" s="33">
        <f>$F$6+SUM($E$8:Februar[[#This Row],[Arbeitszeit]])</f>
        <v>-1.6666666666666667</v>
      </c>
      <c r="G35" s="32"/>
      <c r="H35" s="35" t="e">
        <f>IF(ISNUMBER(MATCH(Februar!$G35,Setup!$X$73:$X$86,0)),0,VLOOKUP(WEEKDAY(A35,2),Wochenzeiten[],3,0))</f>
        <v>#REF!</v>
      </c>
      <c r="I35" s="35" t="e">
        <f>IF(ISNUMBER(LOOKUP(Februar!$G35,Setup!$X$71:$X99)),0,Februar!$C35-Februar!$B35-Februar!$D35-#REF!)</f>
        <v>#REF!</v>
      </c>
    </row>
    <row r="36" spans="1:9" ht="12.75" customHeight="1" x14ac:dyDescent="0.2">
      <c r="A36" s="48"/>
      <c r="B36" s="48"/>
      <c r="C36" s="73" t="s">
        <v>64</v>
      </c>
      <c r="D36" s="73"/>
      <c r="E36" s="73"/>
      <c r="F36" s="49">
        <f>SUM(Februar!$E$8:$E$35)+$F$6-E44</f>
        <v>-3.3333333333333335</v>
      </c>
      <c r="G36" s="50"/>
    </row>
    <row r="37" spans="1:9" ht="12" customHeight="1" x14ac:dyDescent="0.2">
      <c r="A37" s="39" t="s">
        <v>65</v>
      </c>
      <c r="B37" s="40"/>
      <c r="C37" s="41"/>
      <c r="D37" s="41"/>
      <c r="E37" s="41"/>
      <c r="F37" s="42"/>
      <c r="G37" s="41"/>
    </row>
    <row r="38" spans="1:9" ht="14.1" customHeight="1" x14ac:dyDescent="0.2">
      <c r="A38" s="69" t="s">
        <v>66</v>
      </c>
      <c r="B38" s="69"/>
      <c r="C38" s="69"/>
      <c r="D38" s="69"/>
      <c r="E38" s="41"/>
      <c r="F38" s="41"/>
      <c r="G38" s="41"/>
    </row>
    <row r="39" spans="1:9" ht="12.95" customHeight="1" x14ac:dyDescent="0.2">
      <c r="A39" s="66" t="s">
        <v>67</v>
      </c>
      <c r="B39" s="66"/>
      <c r="C39" s="66"/>
      <c r="D39" s="43"/>
      <c r="E39" s="41"/>
      <c r="F39" s="41"/>
      <c r="G39" s="41"/>
    </row>
    <row r="40" spans="1:9" ht="12.95" customHeight="1" x14ac:dyDescent="0.2">
      <c r="A40" s="69" t="s">
        <v>68</v>
      </c>
      <c r="B40" s="69"/>
      <c r="C40" s="69"/>
      <c r="D40" s="69"/>
      <c r="E40" s="41"/>
      <c r="F40" s="66" t="s">
        <v>69</v>
      </c>
      <c r="G40" s="66"/>
    </row>
    <row r="41" spans="1:9" ht="12.95" customHeight="1" x14ac:dyDescent="0.2">
      <c r="A41" s="66" t="s">
        <v>70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6" t="s">
        <v>71</v>
      </c>
      <c r="B42" s="66">
        <v>2.0833333333333301E-2</v>
      </c>
      <c r="C42" s="66"/>
      <c r="D42" s="43"/>
      <c r="E42" s="44">
        <f>Setup!C16</f>
        <v>2.0833333333333301E-2</v>
      </c>
      <c r="F42" s="41"/>
      <c r="G42" s="41"/>
    </row>
    <row r="43" spans="1:9" ht="12" customHeight="1" x14ac:dyDescent="0.2">
      <c r="A43" s="66" t="s">
        <v>3</v>
      </c>
      <c r="B43" s="66">
        <v>3.125E-2</v>
      </c>
      <c r="C43" s="66"/>
      <c r="D43" s="43"/>
      <c r="E43" s="44">
        <f>Setup!C17</f>
        <v>3.125E-2</v>
      </c>
      <c r="F43" s="66" t="s">
        <v>72</v>
      </c>
      <c r="G43" s="66"/>
    </row>
    <row r="44" spans="1:9" ht="12" customHeight="1" x14ac:dyDescent="0.2">
      <c r="A44" s="65" t="s">
        <v>73</v>
      </c>
      <c r="B44" s="65"/>
      <c r="C44" s="65"/>
      <c r="D44" s="43"/>
      <c r="E44" s="51">
        <f>Setup!C14</f>
        <v>1.6666666666666667</v>
      </c>
      <c r="F44" s="40"/>
      <c r="G44" s="43"/>
    </row>
    <row r="45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6:E36"/>
    <mergeCell ref="A38:D38"/>
    <mergeCell ref="A39:C39"/>
    <mergeCell ref="A40:D40"/>
    <mergeCell ref="A44:C44"/>
    <mergeCell ref="F40:G40"/>
    <mergeCell ref="A41:C41"/>
    <mergeCell ref="A42:C42"/>
    <mergeCell ref="A43:C43"/>
    <mergeCell ref="F43:G43"/>
  </mergeCells>
  <conditionalFormatting sqref="A8:F35">
    <cfRule type="expression" dxfId="21" priority="2">
      <formula>WEEKDAY(N($A8),2)&gt;5</formula>
    </cfRule>
    <cfRule type="cellIs" dxfId="20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DATE(Setup!C13,3,1)</f>
        <v>43524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Februar!F36</f>
        <v>-3.3333333333333335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43524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Maerz[[#This Row],[Ende]]-Maerz[[#This Row],[Beginn]]-Maerz[[#This Row],[Pause]]</f>
        <v>0</v>
      </c>
      <c r="F8" s="33">
        <f>$F$6+SUM($E$8:Maerz[[#This Row],[Arbeitszeit]])</f>
        <v>-3.3333333333333335</v>
      </c>
      <c r="G8" s="32"/>
      <c r="H8" s="35" t="e">
        <f>IF(ISNUMBER(MATCH(Maerz[[#This Row],[Bemerkung]],Setup!$X$73:$X$86,0)),0,VLOOKUP(WEEKDAY(A8,2),Wochenzeiten[],3,0))</f>
        <v>#REF!</v>
      </c>
      <c r="I8" s="35" t="e">
        <f>IF(ISNUMBER(LOOKUP(Maerz[[#This Row],[Bemerkung]],Setup!$X$71:$X72)),0,Maerz[[#This Row],[Ende]]-Maerz[[#This Row],[Beginn]]-Maerz[[#This Row],[Pause]]-Maerz[[#This Row],[Berechnungshilfe1]])</f>
        <v>#REF!</v>
      </c>
    </row>
    <row r="9" spans="1:15" ht="12.95" customHeight="1" x14ac:dyDescent="0.2">
      <c r="A9" s="53">
        <f t="shared" ref="A9:A38" si="1">A8+1</f>
        <v>43525</v>
      </c>
      <c r="B9" s="28">
        <v>0</v>
      </c>
      <c r="C9" s="28">
        <v>0</v>
      </c>
      <c r="D9" s="47">
        <f t="shared" si="0"/>
        <v>0</v>
      </c>
      <c r="E9" s="31">
        <f>Maerz[[#This Row],[Ende]]-Maerz[[#This Row],[Beginn]]-Maerz[[#This Row],[Pause]]</f>
        <v>0</v>
      </c>
      <c r="F9" s="33">
        <f>$F$6+SUM($E$8:Maerz[[#This Row],[Arbeitszeit]])</f>
        <v>-3.3333333333333335</v>
      </c>
      <c r="G9" s="32"/>
      <c r="H9" s="35" t="e">
        <f>IF(ISNUMBER(MATCH(Maerz[[#This Row],[Bemerkung]],Setup!$X$73:$X$86,0)),0,VLOOKUP(WEEKDAY(A9,2),Wochenzeiten[],3,0))</f>
        <v>#REF!</v>
      </c>
      <c r="I9" s="35" t="e">
        <f>IF(ISNUMBER(LOOKUP(Maerz[[#This Row],[Bemerkung]],Setup!$X$71:$X73)),0,Maerz[[#This Row],[Ende]]-Maerz[[#This Row],[Beginn]]-Maerz[[#This Row],[Pause]]-Maerz[[#This Row],[Berechnungshilfe1]])</f>
        <v>#REF!</v>
      </c>
    </row>
    <row r="10" spans="1:15" ht="12.95" customHeight="1" x14ac:dyDescent="0.2">
      <c r="A10" s="53">
        <f t="shared" si="1"/>
        <v>43526</v>
      </c>
      <c r="B10" s="28">
        <v>0</v>
      </c>
      <c r="C10" s="28">
        <v>0</v>
      </c>
      <c r="D10" s="47">
        <f t="shared" si="0"/>
        <v>0</v>
      </c>
      <c r="E10" s="31">
        <f>Maerz[[#This Row],[Ende]]-Maerz[[#This Row],[Beginn]]-Maerz[[#This Row],[Pause]]</f>
        <v>0</v>
      </c>
      <c r="F10" s="33">
        <f>$F$6+SUM($E$8:Maerz[[#This Row],[Arbeitszeit]])</f>
        <v>-3.3333333333333335</v>
      </c>
      <c r="G10" s="32"/>
      <c r="H10" s="35" t="e">
        <f>IF(ISNUMBER(MATCH(Maerz[[#This Row],[Bemerkung]],Setup!$X$73:$X$86,0)),0,VLOOKUP(WEEKDAY(A10,2),Wochenzeiten[],3,0))</f>
        <v>#REF!</v>
      </c>
      <c r="I10" s="35" t="e">
        <f>IF(ISNUMBER(LOOKUP(Maerz[[#This Row],[Bemerkung]],Setup!$X$71:$X74)),0,Maerz[[#This Row],[Ende]]-Maerz[[#This Row],[Beginn]]-Maerz[[#This Row],[Pause]]-Maerz[[#This Row],[Berechnungshilfe1]])</f>
        <v>#REF!</v>
      </c>
    </row>
    <row r="11" spans="1:15" ht="12.95" customHeight="1" x14ac:dyDescent="0.2">
      <c r="A11" s="53">
        <f t="shared" si="1"/>
        <v>43527</v>
      </c>
      <c r="B11" s="28">
        <v>0</v>
      </c>
      <c r="C11" s="28">
        <v>0</v>
      </c>
      <c r="D11" s="47">
        <f t="shared" si="0"/>
        <v>0</v>
      </c>
      <c r="E11" s="31">
        <f>Maerz[[#This Row],[Ende]]-Maerz[[#This Row],[Beginn]]-Maerz[[#This Row],[Pause]]</f>
        <v>0</v>
      </c>
      <c r="F11" s="33">
        <f>$F$6+SUM($E$8:Maerz[[#This Row],[Arbeitszeit]])</f>
        <v>-3.3333333333333335</v>
      </c>
      <c r="G11" s="32"/>
      <c r="H11" s="35" t="e">
        <f>IF(ISNUMBER(MATCH(Maerz[[#This Row],[Bemerkung]],Setup!$X$73:$X$86,0)),0,VLOOKUP(WEEKDAY(A11,2),Wochenzeiten[],3,0))</f>
        <v>#REF!</v>
      </c>
      <c r="I11" s="35" t="e">
        <f>IF(ISNUMBER(LOOKUP(Maerz[[#This Row],[Bemerkung]],Setup!$X$71:$X75)),0,Maerz[[#This Row],[Ende]]-Maerz[[#This Row],[Beginn]]-Maerz[[#This Row],[Pause]]-Maerz[[#This Row],[Berechnungshilfe1]])</f>
        <v>#REF!</v>
      </c>
    </row>
    <row r="12" spans="1:15" ht="12.95" customHeight="1" x14ac:dyDescent="0.2">
      <c r="A12" s="53">
        <f t="shared" si="1"/>
        <v>43528</v>
      </c>
      <c r="B12" s="28">
        <v>0</v>
      </c>
      <c r="C12" s="28">
        <v>0</v>
      </c>
      <c r="D12" s="47">
        <f t="shared" si="0"/>
        <v>0</v>
      </c>
      <c r="E12" s="31">
        <f>Maerz[[#This Row],[Ende]]-Maerz[[#This Row],[Beginn]]-Maerz[[#This Row],[Pause]]</f>
        <v>0</v>
      </c>
      <c r="F12" s="33">
        <f>$F$6+SUM($E$8:Maerz[[#This Row],[Arbeitszeit]])</f>
        <v>-3.3333333333333335</v>
      </c>
      <c r="G12" s="32"/>
      <c r="H12" s="35" t="e">
        <f>IF(ISNUMBER(MATCH(Maerz[[#This Row],[Bemerkung]],Setup!$X$73:$X$86,0)),0,VLOOKUP(WEEKDAY(A12,2),Wochenzeiten[],3,0))</f>
        <v>#REF!</v>
      </c>
      <c r="I12" s="35" t="e">
        <f>IF(ISNUMBER(LOOKUP(Maerz[[#This Row],[Bemerkung]],Setup!$X$71:$X76)),0,Maerz[[#This Row],[Ende]]-Maerz[[#This Row],[Beginn]]-Maerz[[#This Row],[Pause]]-Maerz[[#This Row],[Berechnungshilfe1]])</f>
        <v>#REF!</v>
      </c>
    </row>
    <row r="13" spans="1:15" ht="12.95" customHeight="1" x14ac:dyDescent="0.2">
      <c r="A13" s="53">
        <f t="shared" si="1"/>
        <v>43529</v>
      </c>
      <c r="B13" s="28">
        <v>0</v>
      </c>
      <c r="C13" s="28">
        <v>0</v>
      </c>
      <c r="D13" s="47">
        <f t="shared" si="0"/>
        <v>0</v>
      </c>
      <c r="E13" s="31">
        <f>Maerz[[#This Row],[Ende]]-Maerz[[#This Row],[Beginn]]-Maerz[[#This Row],[Pause]]</f>
        <v>0</v>
      </c>
      <c r="F13" s="33">
        <f>$F$6+SUM($E$8:Maerz[[#This Row],[Arbeitszeit]])</f>
        <v>-3.3333333333333335</v>
      </c>
      <c r="G13" s="32"/>
      <c r="H13" s="35" t="e">
        <f>IF(ISNUMBER(MATCH(Maerz[[#This Row],[Bemerkung]],Setup!$X$73:$X$86,0)),0,VLOOKUP(WEEKDAY(A13,2),Wochenzeiten[],3,0))</f>
        <v>#REF!</v>
      </c>
      <c r="I13" s="35" t="e">
        <f>IF(ISNUMBER(LOOKUP(Maerz[[#This Row],[Bemerkung]],Setup!$X$71:$X77)),0,Maerz[[#This Row],[Ende]]-Maerz[[#This Row],[Beginn]]-Maerz[[#This Row],[Pause]]-Maerz[[#This Row],[Berechnungshilfe1]])</f>
        <v>#REF!</v>
      </c>
    </row>
    <row r="14" spans="1:15" ht="12.95" customHeight="1" x14ac:dyDescent="0.2">
      <c r="A14" s="53">
        <f t="shared" si="1"/>
        <v>43530</v>
      </c>
      <c r="B14" s="28">
        <v>0</v>
      </c>
      <c r="C14" s="28">
        <v>0</v>
      </c>
      <c r="D14" s="47">
        <f t="shared" si="0"/>
        <v>0</v>
      </c>
      <c r="E14" s="31">
        <f>Maerz[[#This Row],[Ende]]-Maerz[[#This Row],[Beginn]]-Maerz[[#This Row],[Pause]]</f>
        <v>0</v>
      </c>
      <c r="F14" s="33">
        <f>$F$6+SUM($E$8:Maerz[[#This Row],[Arbeitszeit]])</f>
        <v>-3.3333333333333335</v>
      </c>
      <c r="G14" s="32"/>
      <c r="H14" s="35" t="e">
        <f>IF(ISNUMBER(MATCH(Maerz[[#This Row],[Bemerkung]],Setup!$X$73:$X$86,0)),0,VLOOKUP(WEEKDAY(A14,2),Wochenzeiten[],3,0))</f>
        <v>#REF!</v>
      </c>
      <c r="I14" s="35" t="e">
        <f>IF(ISNUMBER(LOOKUP(Maerz[[#This Row],[Bemerkung]],Setup!$X$71:$X79)),0,Maerz[[#This Row],[Ende]]-Maerz[[#This Row],[Beginn]]-Maerz[[#This Row],[Pause]]-Maerz[[#This Row],[Berechnungshilfe1]])</f>
        <v>#REF!</v>
      </c>
    </row>
    <row r="15" spans="1:15" ht="12.95" customHeight="1" x14ac:dyDescent="0.2">
      <c r="A15" s="53">
        <f t="shared" si="1"/>
        <v>43531</v>
      </c>
      <c r="B15" s="28">
        <v>0</v>
      </c>
      <c r="C15" s="28">
        <v>0</v>
      </c>
      <c r="D15" s="47">
        <f t="shared" si="0"/>
        <v>0</v>
      </c>
      <c r="E15" s="31">
        <f>Maerz[[#This Row],[Ende]]-Maerz[[#This Row],[Beginn]]-Maerz[[#This Row],[Pause]]</f>
        <v>0</v>
      </c>
      <c r="F15" s="33">
        <f>$F$6+SUM($E$8:Maerz[[#This Row],[Arbeitszeit]])</f>
        <v>-3.3333333333333335</v>
      </c>
      <c r="G15" s="32" t="s">
        <v>87</v>
      </c>
      <c r="H15" s="35" t="e">
        <f>IF(ISNUMBER(MATCH(Maerz[[#This Row],[Bemerkung]],Setup!$X$73:$X$86,0)),0,VLOOKUP(WEEKDAY(A15,2),Wochenzeiten[],3,0))</f>
        <v>#REF!</v>
      </c>
      <c r="I15" s="35" t="e">
        <f>IF(ISNUMBER(LOOKUP(Maerz[[#This Row],[Bemerkung]],Setup!$X$71:$X80)),0,Maerz[[#This Row],[Ende]]-Maerz[[#This Row],[Beginn]]-Maerz[[#This Row],[Pause]]-Maerz[[#This Row],[Berechnungshilfe1]])</f>
        <v>#REF!</v>
      </c>
    </row>
    <row r="16" spans="1:15" ht="12.95" customHeight="1" x14ac:dyDescent="0.2">
      <c r="A16" s="53">
        <f t="shared" si="1"/>
        <v>43532</v>
      </c>
      <c r="B16" s="28">
        <v>0</v>
      </c>
      <c r="C16" s="28">
        <v>0</v>
      </c>
      <c r="D16" s="47">
        <f t="shared" si="0"/>
        <v>0</v>
      </c>
      <c r="E16" s="31">
        <f>Maerz[[#This Row],[Ende]]-Maerz[[#This Row],[Beginn]]-Maerz[[#This Row],[Pause]]</f>
        <v>0</v>
      </c>
      <c r="F16" s="33">
        <f>$F$6+SUM($E$8:Maerz[[#This Row],[Arbeitszeit]])</f>
        <v>-3.3333333333333335</v>
      </c>
      <c r="G16" s="32"/>
      <c r="H16" s="35" t="e">
        <f>IF(ISNUMBER(MATCH(Maerz[[#This Row],[Bemerkung]],Setup!$X$73:$X$86,0)),0,VLOOKUP(WEEKDAY(A16,2),Wochenzeiten[],3,0))</f>
        <v>#REF!</v>
      </c>
      <c r="I16" s="35" t="e">
        <f>IF(ISNUMBER(LOOKUP(Maerz[[#This Row],[Bemerkung]],Setup!$X$71:$X81)),0,Maerz[[#This Row],[Ende]]-Maerz[[#This Row],[Beginn]]-Maerz[[#This Row],[Pause]]-Maerz[[#This Row],[Berechnungshilfe1]])</f>
        <v>#REF!</v>
      </c>
    </row>
    <row r="17" spans="1:9" ht="12.95" customHeight="1" x14ac:dyDescent="0.2">
      <c r="A17" s="53">
        <f t="shared" si="1"/>
        <v>43533</v>
      </c>
      <c r="B17" s="28">
        <v>0</v>
      </c>
      <c r="C17" s="28">
        <v>0</v>
      </c>
      <c r="D17" s="47">
        <f t="shared" si="0"/>
        <v>0</v>
      </c>
      <c r="E17" s="31">
        <f>Maerz[[#This Row],[Ende]]-Maerz[[#This Row],[Beginn]]-Maerz[[#This Row],[Pause]]</f>
        <v>0</v>
      </c>
      <c r="F17" s="33">
        <f>$F$6+SUM($E$8:Maerz[[#This Row],[Arbeitszeit]])</f>
        <v>-3.3333333333333335</v>
      </c>
      <c r="G17" s="32"/>
      <c r="H17" s="35" t="e">
        <f>IF(ISNUMBER(MATCH(Maerz[[#This Row],[Bemerkung]],Setup!$X$73:$X$86,0)),0,VLOOKUP(WEEKDAY(A17,2),Wochenzeiten[],3,0))</f>
        <v>#REF!</v>
      </c>
      <c r="I17" s="35" t="e">
        <f>IF(ISNUMBER(LOOKUP(Maerz[[#This Row],[Bemerkung]],Setup!$X$71:$X82)),0,Maerz[[#This Row],[Ende]]-Maerz[[#This Row],[Beginn]]-Maerz[[#This Row],[Pause]]-Maerz[[#This Row],[Berechnungshilfe1]])</f>
        <v>#REF!</v>
      </c>
    </row>
    <row r="18" spans="1:9" ht="12.95" customHeight="1" x14ac:dyDescent="0.2">
      <c r="A18" s="53">
        <f t="shared" si="1"/>
        <v>43534</v>
      </c>
      <c r="B18" s="28">
        <v>0</v>
      </c>
      <c r="C18" s="28">
        <v>0</v>
      </c>
      <c r="D18" s="47">
        <f t="shared" si="0"/>
        <v>0</v>
      </c>
      <c r="E18" s="31">
        <f>Maerz[[#This Row],[Ende]]-Maerz[[#This Row],[Beginn]]-Maerz[[#This Row],[Pause]]</f>
        <v>0</v>
      </c>
      <c r="F18" s="33">
        <f>$F$6+SUM($E$8:Maerz[[#This Row],[Arbeitszeit]])</f>
        <v>-3.3333333333333335</v>
      </c>
      <c r="G18" s="32"/>
      <c r="H18" s="35" t="e">
        <f>IF(ISNUMBER(MATCH(Maerz[[#This Row],[Bemerkung]],Setup!$X$73:$X$86,0)),0,VLOOKUP(WEEKDAY(A18,2),Wochenzeiten[],3,0))</f>
        <v>#REF!</v>
      </c>
      <c r="I18" s="35" t="e">
        <f>IF(ISNUMBER(LOOKUP(Maerz[[#This Row],[Bemerkung]],Setup!$X$71:$X83)),0,Maerz[[#This Row],[Ende]]-Maerz[[#This Row],[Beginn]]-Maerz[[#This Row],[Pause]]-Maerz[[#This Row],[Berechnungshilfe1]])</f>
        <v>#REF!</v>
      </c>
    </row>
    <row r="19" spans="1:9" ht="12.95" customHeight="1" x14ac:dyDescent="0.2">
      <c r="A19" s="53">
        <f t="shared" si="1"/>
        <v>43535</v>
      </c>
      <c r="B19" s="28">
        <v>0</v>
      </c>
      <c r="C19" s="28">
        <v>0</v>
      </c>
      <c r="D19" s="47">
        <f t="shared" si="0"/>
        <v>0</v>
      </c>
      <c r="E19" s="31">
        <f>Maerz[[#This Row],[Ende]]-Maerz[[#This Row],[Beginn]]-Maerz[[#This Row],[Pause]]</f>
        <v>0</v>
      </c>
      <c r="F19" s="33">
        <f>$F$6+SUM($E$8:Maerz[[#This Row],[Arbeitszeit]])</f>
        <v>-3.3333333333333335</v>
      </c>
      <c r="G19" s="32"/>
      <c r="H19" s="35" t="e">
        <f>IF(ISNUMBER(MATCH(Maerz[[#This Row],[Bemerkung]],Setup!$X$73:$X$86,0)),0,VLOOKUP(WEEKDAY(A19,2),Wochenzeiten[],3,0))</f>
        <v>#REF!</v>
      </c>
      <c r="I19" s="35" t="e">
        <f>IF(ISNUMBER(LOOKUP(Maerz[[#This Row],[Bemerkung]],Setup!$X$71:$X84)),0,Maerz[[#This Row],[Ende]]-Maerz[[#This Row],[Beginn]]-Maerz[[#This Row],[Pause]]-Maerz[[#This Row],[Berechnungshilfe1]])</f>
        <v>#REF!</v>
      </c>
    </row>
    <row r="20" spans="1:9" ht="12.95" customHeight="1" x14ac:dyDescent="0.2">
      <c r="A20" s="53">
        <f t="shared" si="1"/>
        <v>43536</v>
      </c>
      <c r="B20" s="28">
        <v>0</v>
      </c>
      <c r="C20" s="28">
        <v>0</v>
      </c>
      <c r="D20" s="47">
        <f t="shared" si="0"/>
        <v>0</v>
      </c>
      <c r="E20" s="31">
        <f>Maerz[[#This Row],[Ende]]-Maerz[[#This Row],[Beginn]]-Maerz[[#This Row],[Pause]]</f>
        <v>0</v>
      </c>
      <c r="F20" s="33">
        <f>$F$6+SUM($E$8:Maerz[[#This Row],[Arbeitszeit]])</f>
        <v>-3.3333333333333335</v>
      </c>
      <c r="G20" s="32"/>
      <c r="H20" s="35" t="e">
        <f>IF(ISNUMBER(MATCH(Maerz[[#This Row],[Bemerkung]],Setup!$X$73:$X$86,0)),0,VLOOKUP(WEEKDAY(A20,2),Wochenzeiten[],3,0))</f>
        <v>#REF!</v>
      </c>
      <c r="I20" s="35" t="e">
        <f>IF(ISNUMBER(LOOKUP(Maerz[[#This Row],[Bemerkung]],Setup!$X$71:$X85)),0,Maerz[[#This Row],[Ende]]-Maerz[[#This Row],[Beginn]]-Maerz[[#This Row],[Pause]]-Maerz[[#This Row],[Berechnungshilfe1]])</f>
        <v>#REF!</v>
      </c>
    </row>
    <row r="21" spans="1:9" ht="12.95" customHeight="1" x14ac:dyDescent="0.2">
      <c r="A21" s="53">
        <f t="shared" si="1"/>
        <v>43537</v>
      </c>
      <c r="B21" s="28">
        <v>0</v>
      </c>
      <c r="C21" s="28">
        <v>0</v>
      </c>
      <c r="D21" s="47">
        <f t="shared" si="0"/>
        <v>0</v>
      </c>
      <c r="E21" s="31">
        <f>Maerz[[#This Row],[Ende]]-Maerz[[#This Row],[Beginn]]-Maerz[[#This Row],[Pause]]</f>
        <v>0</v>
      </c>
      <c r="F21" s="33">
        <f>$F$6+SUM($E$8:Maerz[[#This Row],[Arbeitszeit]])</f>
        <v>-3.3333333333333335</v>
      </c>
      <c r="G21" s="32"/>
      <c r="H21" s="35" t="e">
        <f>IF(ISNUMBER(MATCH(Maerz[[#This Row],[Bemerkung]],Setup!$X$73:$X$86,0)),0,VLOOKUP(WEEKDAY(A21,2),Wochenzeiten[],3,0))</f>
        <v>#REF!</v>
      </c>
      <c r="I21" s="35" t="e">
        <f>IF(ISNUMBER(LOOKUP(Maerz[[#This Row],[Bemerkung]],Setup!$X$71:$X86)),0,Maerz[[#This Row],[Ende]]-Maerz[[#This Row],[Beginn]]-Maerz[[#This Row],[Pause]]-Maerz[[#This Row],[Berechnungshilfe1]])</f>
        <v>#REF!</v>
      </c>
    </row>
    <row r="22" spans="1:9" ht="12.95" customHeight="1" x14ac:dyDescent="0.2">
      <c r="A22" s="53">
        <f t="shared" si="1"/>
        <v>43538</v>
      </c>
      <c r="B22" s="28">
        <v>0</v>
      </c>
      <c r="C22" s="28">
        <v>0</v>
      </c>
      <c r="D22" s="47">
        <f t="shared" si="0"/>
        <v>0</v>
      </c>
      <c r="E22" s="31">
        <f>Maerz[[#This Row],[Ende]]-Maerz[[#This Row],[Beginn]]-Maerz[[#This Row],[Pause]]</f>
        <v>0</v>
      </c>
      <c r="F22" s="33">
        <f>$F$6+SUM($E$8:Maerz[[#This Row],[Arbeitszeit]])</f>
        <v>-3.3333333333333335</v>
      </c>
      <c r="G22" s="32"/>
      <c r="H22" s="35" t="e">
        <f>IF(ISNUMBER(MATCH(Maerz[[#This Row],[Bemerkung]],Setup!$X$73:$X$86,0)),0,VLOOKUP(WEEKDAY(A22,2),Wochenzeiten[],3,0))</f>
        <v>#REF!</v>
      </c>
      <c r="I22" s="35" t="e">
        <f>IF(ISNUMBER(LOOKUP(Maerz[[#This Row],[Bemerkung]],Setup!$X$71:$X87)),0,Maerz[[#This Row],[Ende]]-Maerz[[#This Row],[Beginn]]-Maerz[[#This Row],[Pause]]-Maerz[[#This Row],[Berechnungshilfe1]])</f>
        <v>#REF!</v>
      </c>
    </row>
    <row r="23" spans="1:9" ht="12.95" customHeight="1" x14ac:dyDescent="0.2">
      <c r="A23" s="53">
        <f t="shared" si="1"/>
        <v>43539</v>
      </c>
      <c r="B23" s="28">
        <v>0</v>
      </c>
      <c r="C23" s="28">
        <v>0</v>
      </c>
      <c r="D23" s="47">
        <f t="shared" si="0"/>
        <v>0</v>
      </c>
      <c r="E23" s="31">
        <f>Maerz[[#This Row],[Ende]]-Maerz[[#This Row],[Beginn]]-Maerz[[#This Row],[Pause]]</f>
        <v>0</v>
      </c>
      <c r="F23" s="33">
        <f>$F$6+SUM($E$8:Maerz[[#This Row],[Arbeitszeit]])</f>
        <v>-3.3333333333333335</v>
      </c>
      <c r="G23" s="32"/>
      <c r="H23" s="35" t="e">
        <f>IF(ISNUMBER(MATCH(Maerz[[#This Row],[Bemerkung]],Setup!$X$73:$X$86,0)),0,VLOOKUP(WEEKDAY(A23,2),Wochenzeiten[],3,0))</f>
        <v>#REF!</v>
      </c>
      <c r="I23" s="35" t="e">
        <f>IF(ISNUMBER(LOOKUP(Maerz[[#This Row],[Bemerkung]],Setup!$X$71:$X87)),0,Maerz[[#This Row],[Ende]]-Maerz[[#This Row],[Beginn]]-Maerz[[#This Row],[Pause]]-Maerz[[#This Row],[Berechnungshilfe1]])</f>
        <v>#REF!</v>
      </c>
    </row>
    <row r="24" spans="1:9" ht="12.95" customHeight="1" x14ac:dyDescent="0.2">
      <c r="A24" s="53">
        <f t="shared" si="1"/>
        <v>43540</v>
      </c>
      <c r="B24" s="28">
        <v>0</v>
      </c>
      <c r="C24" s="28">
        <v>0</v>
      </c>
      <c r="D24" s="47">
        <f t="shared" si="0"/>
        <v>0</v>
      </c>
      <c r="E24" s="31">
        <f>Maerz[[#This Row],[Ende]]-Maerz[[#This Row],[Beginn]]-Maerz[[#This Row],[Pause]]</f>
        <v>0</v>
      </c>
      <c r="F24" s="33">
        <f>$F$6+SUM($E$8:Maerz[[#This Row],[Arbeitszeit]])</f>
        <v>-3.3333333333333335</v>
      </c>
      <c r="G24" s="32"/>
      <c r="H24" s="35" t="e">
        <f>IF(ISNUMBER(MATCH(Maerz[[#This Row],[Bemerkung]],Setup!$X$73:$X$86,0)),0,VLOOKUP(WEEKDAY(A24,2),Wochenzeiten[],3,0))</f>
        <v>#REF!</v>
      </c>
      <c r="I24" s="35" t="e">
        <f>IF(ISNUMBER(LOOKUP(Maerz[[#This Row],[Bemerkung]],Setup!$X$71:$X88)),0,Maerz[[#This Row],[Ende]]-Maerz[[#This Row],[Beginn]]-Maerz[[#This Row],[Pause]]-Maerz[[#This Row],[Berechnungshilfe1]])</f>
        <v>#REF!</v>
      </c>
    </row>
    <row r="25" spans="1:9" ht="12.95" customHeight="1" x14ac:dyDescent="0.2">
      <c r="A25" s="53">
        <f t="shared" si="1"/>
        <v>43541</v>
      </c>
      <c r="B25" s="28">
        <v>0</v>
      </c>
      <c r="C25" s="28">
        <v>0</v>
      </c>
      <c r="D25" s="47">
        <f t="shared" si="0"/>
        <v>0</v>
      </c>
      <c r="E25" s="31">
        <f>Maerz[[#This Row],[Ende]]-Maerz[[#This Row],[Beginn]]-Maerz[[#This Row],[Pause]]</f>
        <v>0</v>
      </c>
      <c r="F25" s="33">
        <f>$F$6+SUM($E$8:Maerz[[#This Row],[Arbeitszeit]])</f>
        <v>-3.3333333333333335</v>
      </c>
      <c r="G25" s="32"/>
      <c r="H25" s="35" t="e">
        <f>IF(ISNUMBER(MATCH(Maerz[[#This Row],[Bemerkung]],Setup!$X$73:$X$86,0)),0,VLOOKUP(WEEKDAY(A25,2),Wochenzeiten[],3,0))</f>
        <v>#REF!</v>
      </c>
      <c r="I25" s="35" t="e">
        <f>IF(ISNUMBER(LOOKUP(Maerz[[#This Row],[Bemerkung]],Setup!$X$71:$X89)),0,Maerz[[#This Row],[Ende]]-Maerz[[#This Row],[Beginn]]-Maerz[[#This Row],[Pause]]-Maerz[[#This Row],[Berechnungshilfe1]])</f>
        <v>#REF!</v>
      </c>
    </row>
    <row r="26" spans="1:9" ht="12.95" customHeight="1" x14ac:dyDescent="0.2">
      <c r="A26" s="53">
        <f t="shared" si="1"/>
        <v>43542</v>
      </c>
      <c r="B26" s="28">
        <v>0</v>
      </c>
      <c r="C26" s="28">
        <v>0</v>
      </c>
      <c r="D26" s="47">
        <f t="shared" si="0"/>
        <v>0</v>
      </c>
      <c r="E26" s="31">
        <f>Maerz[[#This Row],[Ende]]-Maerz[[#This Row],[Beginn]]-Maerz[[#This Row],[Pause]]</f>
        <v>0</v>
      </c>
      <c r="F26" s="33">
        <f>$F$6+SUM($E$8:Maerz[[#This Row],[Arbeitszeit]])</f>
        <v>-3.3333333333333335</v>
      </c>
      <c r="G26" s="32"/>
      <c r="H26" s="35" t="e">
        <f>IF(ISNUMBER(MATCH(Maerz[[#This Row],[Bemerkung]],Setup!$X$73:$X$86,0)),0,VLOOKUP(WEEKDAY(A26,2),Wochenzeiten[],3,0))</f>
        <v>#REF!</v>
      </c>
      <c r="I26" s="35" t="e">
        <f>IF(ISNUMBER(LOOKUP(Maerz[[#This Row],[Bemerkung]],Setup!$X$71:$X90)),0,Maerz[[#This Row],[Ende]]-Maerz[[#This Row],[Beginn]]-Maerz[[#This Row],[Pause]]-Maerz[[#This Row],[Berechnungshilfe1]])</f>
        <v>#REF!</v>
      </c>
    </row>
    <row r="27" spans="1:9" ht="12.95" customHeight="1" x14ac:dyDescent="0.2">
      <c r="A27" s="53">
        <f t="shared" si="1"/>
        <v>43543</v>
      </c>
      <c r="B27" s="28">
        <v>0</v>
      </c>
      <c r="C27" s="28">
        <v>0</v>
      </c>
      <c r="D27" s="47">
        <f t="shared" si="0"/>
        <v>0</v>
      </c>
      <c r="E27" s="31">
        <f>Maerz[[#This Row],[Ende]]-Maerz[[#This Row],[Beginn]]-Maerz[[#This Row],[Pause]]</f>
        <v>0</v>
      </c>
      <c r="F27" s="33">
        <f>$F$6+SUM($E$8:Maerz[[#This Row],[Arbeitszeit]])</f>
        <v>-3.3333333333333335</v>
      </c>
      <c r="G27" s="32"/>
      <c r="H27" s="35" t="e">
        <f>IF(ISNUMBER(MATCH(Maerz[[#This Row],[Bemerkung]],Setup!$X$73:$X$86,0)),0,VLOOKUP(WEEKDAY(A27,2),Wochenzeiten[],3,0))</f>
        <v>#REF!</v>
      </c>
      <c r="I27" s="35" t="e">
        <f>IF(ISNUMBER(LOOKUP(Maerz[[#This Row],[Bemerkung]],Setup!$X$71:$X91)),0,Maerz[[#This Row],[Ende]]-Maerz[[#This Row],[Beginn]]-Maerz[[#This Row],[Pause]]-Maerz[[#This Row],[Berechnungshilfe1]])</f>
        <v>#REF!</v>
      </c>
    </row>
    <row r="28" spans="1:9" ht="12.95" customHeight="1" x14ac:dyDescent="0.2">
      <c r="A28" s="53">
        <f t="shared" si="1"/>
        <v>43544</v>
      </c>
      <c r="B28" s="28">
        <v>0</v>
      </c>
      <c r="C28" s="28">
        <v>0</v>
      </c>
      <c r="D28" s="47">
        <f t="shared" si="0"/>
        <v>0</v>
      </c>
      <c r="E28" s="31">
        <f>Maerz[[#This Row],[Ende]]-Maerz[[#This Row],[Beginn]]-Maerz[[#This Row],[Pause]]</f>
        <v>0</v>
      </c>
      <c r="F28" s="33">
        <f>$F$6+SUM($E$8:Maerz[[#This Row],[Arbeitszeit]])</f>
        <v>-3.3333333333333335</v>
      </c>
      <c r="G28" s="32"/>
      <c r="H28" s="35" t="e">
        <f>IF(ISNUMBER(MATCH(Maerz[[#This Row],[Bemerkung]],Setup!$X$73:$X$86,0)),0,VLOOKUP(WEEKDAY(A28,2),Wochenzeiten[],3,0))</f>
        <v>#REF!</v>
      </c>
      <c r="I28" s="35" t="e">
        <f>IF(ISNUMBER(LOOKUP(Maerz[[#This Row],[Bemerkung]],Setup!$X$71:$X92)),0,Maerz[[#This Row],[Ende]]-Maerz[[#This Row],[Beginn]]-Maerz[[#This Row],[Pause]]-Maerz[[#This Row],[Berechnungshilfe1]])</f>
        <v>#REF!</v>
      </c>
    </row>
    <row r="29" spans="1:9" ht="12.95" customHeight="1" x14ac:dyDescent="0.2">
      <c r="A29" s="53">
        <f t="shared" si="1"/>
        <v>43545</v>
      </c>
      <c r="B29" s="28">
        <v>0</v>
      </c>
      <c r="C29" s="28">
        <v>0</v>
      </c>
      <c r="D29" s="47">
        <f t="shared" si="0"/>
        <v>0</v>
      </c>
      <c r="E29" s="31">
        <f>Maerz[[#This Row],[Ende]]-Maerz[[#This Row],[Beginn]]-Maerz[[#This Row],[Pause]]</f>
        <v>0</v>
      </c>
      <c r="F29" s="33">
        <f>$F$6+SUM($E$8:Maerz[[#This Row],[Arbeitszeit]])</f>
        <v>-3.3333333333333335</v>
      </c>
      <c r="G29" s="32"/>
      <c r="H29" s="35" t="e">
        <f>IF(ISNUMBER(MATCH(Maerz[[#This Row],[Bemerkung]],Setup!$X$73:$X$86,0)),0,VLOOKUP(WEEKDAY(A29,2),Wochenzeiten[],3,0))</f>
        <v>#REF!</v>
      </c>
      <c r="I29" s="35" t="e">
        <f>IF(ISNUMBER(LOOKUP(Maerz[[#This Row],[Bemerkung]],Setup!$X$71:$X93)),0,Maerz[[#This Row],[Ende]]-Maerz[[#This Row],[Beginn]]-Maerz[[#This Row],[Pause]]-Maerz[[#This Row],[Berechnungshilfe1]])</f>
        <v>#REF!</v>
      </c>
    </row>
    <row r="30" spans="1:9" ht="12.95" customHeight="1" x14ac:dyDescent="0.2">
      <c r="A30" s="53">
        <f t="shared" si="1"/>
        <v>43546</v>
      </c>
      <c r="B30" s="28">
        <v>0</v>
      </c>
      <c r="C30" s="28">
        <v>0</v>
      </c>
      <c r="D30" s="47">
        <f t="shared" si="0"/>
        <v>0</v>
      </c>
      <c r="E30" s="31">
        <f>Maerz[[#This Row],[Ende]]-Maerz[[#This Row],[Beginn]]-Maerz[[#This Row],[Pause]]</f>
        <v>0</v>
      </c>
      <c r="F30" s="33">
        <f>$F$6+SUM($E$8:Maerz[[#This Row],[Arbeitszeit]])</f>
        <v>-3.3333333333333335</v>
      </c>
      <c r="G30" s="32"/>
      <c r="H30" s="35" t="e">
        <f>IF(ISNUMBER(MATCH(Maerz[[#This Row],[Bemerkung]],Setup!$X$73:$X$86,0)),0,VLOOKUP(WEEKDAY(A30,2),Wochenzeiten[],3,0))</f>
        <v>#REF!</v>
      </c>
      <c r="I30" s="35" t="e">
        <f>IF(ISNUMBER(LOOKUP(Maerz[[#This Row],[Bemerkung]],Setup!$X$71:$X94)),0,Maerz[[#This Row],[Ende]]-Maerz[[#This Row],[Beginn]]-Maerz[[#This Row],[Pause]]-Maerz[[#This Row],[Berechnungshilfe1]])</f>
        <v>#REF!</v>
      </c>
    </row>
    <row r="31" spans="1:9" ht="12.95" customHeight="1" x14ac:dyDescent="0.2">
      <c r="A31" s="53">
        <f t="shared" si="1"/>
        <v>43547</v>
      </c>
      <c r="B31" s="28">
        <v>0</v>
      </c>
      <c r="C31" s="28">
        <v>0</v>
      </c>
      <c r="D31" s="47">
        <f t="shared" si="0"/>
        <v>0</v>
      </c>
      <c r="E31" s="31">
        <f>Maerz[[#This Row],[Ende]]-Maerz[[#This Row],[Beginn]]-Maerz[[#This Row],[Pause]]</f>
        <v>0</v>
      </c>
      <c r="F31" s="33">
        <f>$F$6+SUM($E$8:Maerz[[#This Row],[Arbeitszeit]])</f>
        <v>-3.3333333333333335</v>
      </c>
      <c r="G31" s="32"/>
      <c r="H31" s="35" t="e">
        <f>IF(ISNUMBER(MATCH(Maerz[[#This Row],[Bemerkung]],Setup!$X$73:$X$86,0)),0,VLOOKUP(WEEKDAY(A31,2),Wochenzeiten[],3,0))</f>
        <v>#REF!</v>
      </c>
      <c r="I31" s="35" t="e">
        <f>IF(ISNUMBER(LOOKUP(Maerz[[#This Row],[Bemerkung]],Setup!$X$71:$X95)),0,Maerz[[#This Row],[Ende]]-Maerz[[#This Row],[Beginn]]-Maerz[[#This Row],[Pause]]-Maerz[[#This Row],[Berechnungshilfe1]])</f>
        <v>#REF!</v>
      </c>
    </row>
    <row r="32" spans="1:9" ht="12.95" customHeight="1" x14ac:dyDescent="0.2">
      <c r="A32" s="53">
        <f t="shared" si="1"/>
        <v>43548</v>
      </c>
      <c r="B32" s="28">
        <v>0</v>
      </c>
      <c r="C32" s="28">
        <v>0</v>
      </c>
      <c r="D32" s="47">
        <f t="shared" si="0"/>
        <v>0</v>
      </c>
      <c r="E32" s="31">
        <f>Maerz[[#This Row],[Ende]]-Maerz[[#This Row],[Beginn]]-Maerz[[#This Row],[Pause]]</f>
        <v>0</v>
      </c>
      <c r="F32" s="33">
        <f>$F$6+SUM($E$8:Maerz[[#This Row],[Arbeitszeit]])</f>
        <v>-3.3333333333333335</v>
      </c>
      <c r="G32" s="32"/>
      <c r="H32" s="35" t="e">
        <f>IF(ISNUMBER(MATCH(Maerz[[#This Row],[Bemerkung]],Setup!$X$73:$X$86,0)),0,VLOOKUP(WEEKDAY(A32,2),Wochenzeiten[],3,0))</f>
        <v>#REF!</v>
      </c>
      <c r="I32" s="35" t="e">
        <f>IF(ISNUMBER(LOOKUP(Maerz[[#This Row],[Bemerkung]],Setup!$X$71:$X96)),0,Maerz[[#This Row],[Ende]]-Maerz[[#This Row],[Beginn]]-Maerz[[#This Row],[Pause]]-Maerz[[#This Row],[Berechnungshilfe1]])</f>
        <v>#REF!</v>
      </c>
    </row>
    <row r="33" spans="1:9" ht="12.95" customHeight="1" x14ac:dyDescent="0.2">
      <c r="A33" s="53">
        <f t="shared" si="1"/>
        <v>43549</v>
      </c>
      <c r="B33" s="28">
        <v>0</v>
      </c>
      <c r="C33" s="28">
        <v>0</v>
      </c>
      <c r="D33" s="47">
        <f t="shared" si="0"/>
        <v>0</v>
      </c>
      <c r="E33" s="31">
        <f>Maerz[[#This Row],[Ende]]-Maerz[[#This Row],[Beginn]]-Maerz[[#This Row],[Pause]]</f>
        <v>0</v>
      </c>
      <c r="F33" s="33">
        <f>$F$6+SUM($E$8:Maerz[[#This Row],[Arbeitszeit]])</f>
        <v>-3.3333333333333335</v>
      </c>
      <c r="G33" s="32"/>
      <c r="H33" s="35" t="e">
        <f>IF(ISNUMBER(MATCH(Maerz[[#This Row],[Bemerkung]],Setup!$X$73:$X$86,0)),0,VLOOKUP(WEEKDAY(A33,2),Wochenzeiten[],3,0))</f>
        <v>#REF!</v>
      </c>
      <c r="I33" s="35" t="e">
        <f>IF(ISNUMBER(LOOKUP(Maerz[[#This Row],[Bemerkung]],Setup!$X$71:$X97)),0,Maerz[[#This Row],[Ende]]-Maerz[[#This Row],[Beginn]]-Maerz[[#This Row],[Pause]]-Maerz[[#This Row],[Berechnungshilfe1]])</f>
        <v>#REF!</v>
      </c>
    </row>
    <row r="34" spans="1:9" ht="12.95" customHeight="1" x14ac:dyDescent="0.2">
      <c r="A34" s="53">
        <f t="shared" si="1"/>
        <v>43550</v>
      </c>
      <c r="B34" s="28">
        <v>0</v>
      </c>
      <c r="C34" s="28">
        <v>0</v>
      </c>
      <c r="D34" s="47">
        <f t="shared" si="0"/>
        <v>0</v>
      </c>
      <c r="E34" s="31">
        <f>Maerz[[#This Row],[Ende]]-Maerz[[#This Row],[Beginn]]-Maerz[[#This Row],[Pause]]</f>
        <v>0</v>
      </c>
      <c r="F34" s="33">
        <f>$F$6+SUM($E$8:Maerz[[#This Row],[Arbeitszeit]])</f>
        <v>-3.3333333333333335</v>
      </c>
      <c r="G34" s="32"/>
      <c r="H34" s="35" t="e">
        <f>IF(ISNUMBER(MATCH(Maerz[[#This Row],[Bemerkung]],Setup!$X$73:$X$86,0)),0,VLOOKUP(WEEKDAY(A34,2),Wochenzeiten[],3,0))</f>
        <v>#REF!</v>
      </c>
      <c r="I34" s="35" t="e">
        <f>IF(ISNUMBER(LOOKUP(Maerz[[#This Row],[Bemerkung]],Setup!$X$71:$X98)),0,Maerz[[#This Row],[Ende]]-Maerz[[#This Row],[Beginn]]-Maerz[[#This Row],[Pause]]-Maerz[[#This Row],[Berechnungshilfe1]])</f>
        <v>#REF!</v>
      </c>
    </row>
    <row r="35" spans="1:9" ht="12.75" customHeight="1" x14ac:dyDescent="0.2">
      <c r="A35" s="53">
        <f t="shared" si="1"/>
        <v>43551</v>
      </c>
      <c r="B35" s="28">
        <v>0</v>
      </c>
      <c r="C35" s="28">
        <v>0</v>
      </c>
      <c r="D35" s="47">
        <f t="shared" si="0"/>
        <v>0</v>
      </c>
      <c r="E35" s="31">
        <f>Maerz[[#This Row],[Ende]]-Maerz[[#This Row],[Beginn]]-Maerz[[#This Row],[Pause]]</f>
        <v>0</v>
      </c>
      <c r="F35" s="33">
        <f>$F$6+SUM($E$8:Maerz[[#This Row],[Arbeitszeit]])</f>
        <v>-3.3333333333333335</v>
      </c>
      <c r="G35" s="32"/>
      <c r="H35" s="35" t="e">
        <f>IF(ISNUMBER(MATCH(Maerz[[#This Row],[Bemerkung]],Setup!$X$73:$X$86,0)),0,VLOOKUP(WEEKDAY(A35,2),Wochenzeiten[],3,0))</f>
        <v>#REF!</v>
      </c>
      <c r="I35" s="35" t="e">
        <f>IF(ISNUMBER(LOOKUP(Maerz[[#This Row],[Bemerkung]],Setup!$X$71:$X99)),0,Maerz[[#This Row],[Ende]]-Maerz[[#This Row],[Beginn]]-Maerz[[#This Row],[Pause]]-Maerz[[#This Row],[Berechnungshilfe1]])</f>
        <v>#REF!</v>
      </c>
    </row>
    <row r="36" spans="1:9" ht="12.75" customHeight="1" x14ac:dyDescent="0.2">
      <c r="A36" s="53">
        <f t="shared" si="1"/>
        <v>43552</v>
      </c>
      <c r="B36" s="28">
        <v>0</v>
      </c>
      <c r="C36" s="28">
        <v>0</v>
      </c>
      <c r="D36" s="47">
        <f t="shared" si="0"/>
        <v>0</v>
      </c>
      <c r="E36" s="31">
        <f>Maerz[[#This Row],[Ende]]-Maerz[[#This Row],[Beginn]]-Maerz[[#This Row],[Pause]]</f>
        <v>0</v>
      </c>
      <c r="F36" s="33">
        <f>$F$6+SUM($E$8:Maerz[[#This Row],[Arbeitszeit]])</f>
        <v>-3.3333333333333335</v>
      </c>
      <c r="G36" s="32"/>
      <c r="H36" s="35" t="e">
        <f>IF(ISNUMBER(MATCH(Maerz[[#This Row],[Bemerkung]],Setup!$X$73:$X$86,0)),0,VLOOKUP(WEEKDAY(A36,2),Wochenzeiten[],3,0))</f>
        <v>#REF!</v>
      </c>
      <c r="I36" s="35" t="e">
        <f>IF(ISNUMBER(LOOKUP(Maerz[[#This Row],[Bemerkung]],Setup!$X$71:$X100)),0,Maerz[[#This Row],[Ende]]-Maerz[[#This Row],[Beginn]]-Maerz[[#This Row],[Pause]]-Maerz[[#This Row],[Berechnungshilfe1]])</f>
        <v>#REF!</v>
      </c>
    </row>
    <row r="37" spans="1:9" ht="12.75" customHeight="1" x14ac:dyDescent="0.2">
      <c r="A37" s="53">
        <f t="shared" si="1"/>
        <v>43553</v>
      </c>
      <c r="B37" s="28">
        <v>0</v>
      </c>
      <c r="C37" s="28">
        <v>0</v>
      </c>
      <c r="D37" s="47">
        <f t="shared" si="0"/>
        <v>0</v>
      </c>
      <c r="E37" s="31">
        <f>Maerz[[#This Row],[Ende]]-Maerz[[#This Row],[Beginn]]-Maerz[[#This Row],[Pause]]</f>
        <v>0</v>
      </c>
      <c r="F37" s="33">
        <f>$F$6+SUM($E$8:Maerz[[#This Row],[Arbeitszeit]])</f>
        <v>-3.3333333333333335</v>
      </c>
      <c r="G37" s="32"/>
      <c r="H37" s="35" t="e">
        <f>IF(ISNUMBER(MATCH(Maerz[[#This Row],[Bemerkung]],Setup!$X$73:$X$86,0)),0,VLOOKUP(WEEKDAY(A37,2),Wochenzeiten[],3,0))</f>
        <v>#REF!</v>
      </c>
      <c r="I37" s="35" t="e">
        <f>IF(ISNUMBER(LOOKUP(Maerz[[#This Row],[Bemerkung]],Setup!$X$71:$X101)),0,Maerz[[#This Row],[Ende]]-Maerz[[#This Row],[Beginn]]-Maerz[[#This Row],[Pause]]-Maerz[[#This Row],[Berechnungshilfe1]])</f>
        <v>#REF!</v>
      </c>
    </row>
    <row r="38" spans="1:9" ht="12.75" customHeight="1" x14ac:dyDescent="0.2">
      <c r="A38" s="53">
        <f t="shared" si="1"/>
        <v>43554</v>
      </c>
      <c r="B38" s="28">
        <v>0</v>
      </c>
      <c r="C38" s="28">
        <v>0</v>
      </c>
      <c r="D38" s="47">
        <f t="shared" si="0"/>
        <v>0</v>
      </c>
      <c r="E38" s="31">
        <f>Maerz[[#This Row],[Ende]]-Maerz[[#This Row],[Beginn]]-Maerz[[#This Row],[Pause]]</f>
        <v>0</v>
      </c>
      <c r="F38" s="33">
        <f>$F$6+SUM($E$8:Maerz[[#This Row],[Arbeitszeit]])</f>
        <v>-3.3333333333333335</v>
      </c>
      <c r="G38" s="32"/>
      <c r="H38" s="35" t="e">
        <f>IF(ISNUMBER(MATCH(Maerz[[#This Row],[Bemerkung]],Setup!$X$73:$X$86,0)),0,VLOOKUP(WEEKDAY(A38,2),Wochenzeiten[],3,0))</f>
        <v>#REF!</v>
      </c>
      <c r="I38" s="35" t="e">
        <f>IF(ISNUMBER(LOOKUP(Maerz[[#This Row],[Bemerkung]],Setup!$X$71:$X102)),0,Maerz[[#This Row],[Ende]]-Maerz[[#This Row],[Beginn]]-Maerz[[#This Row],[Pause]]-Maerz[[#This Row],[Berechnungshilfe1]])</f>
        <v>#REF!</v>
      </c>
    </row>
    <row r="39" spans="1:9" ht="12.75" customHeight="1" x14ac:dyDescent="0.2">
      <c r="A39" s="36"/>
      <c r="B39" s="36"/>
      <c r="C39" s="68" t="s">
        <v>64</v>
      </c>
      <c r="D39" s="68"/>
      <c r="E39" s="68"/>
      <c r="F39" s="37">
        <f>SUM(Maerz[Arbeitszeit])+$F$6-E47</f>
        <v>-5</v>
      </c>
      <c r="G39" s="38"/>
    </row>
    <row r="40" spans="1:9" ht="12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4.1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.95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  <row r="48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9" priority="10">
      <formula>WEEKDAY($A8,2)&gt;5</formula>
    </cfRule>
    <cfRule type="cellIs" dxfId="18" priority="13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J23" sqref="J23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DATE(Setup!C13,4,1)</f>
        <v>43555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März!F39</f>
        <v>-5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43555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April[[#This Row],[Ende]]-April[[#This Row],[Beginn]]-April[[#This Row],[Pause]]</f>
        <v>0</v>
      </c>
      <c r="F8" s="33">
        <f>$F$6+SUM($E$8:April[[#This Row],[Arbeitszeit]])</f>
        <v>-5</v>
      </c>
      <c r="G8" s="32"/>
      <c r="H8" s="35" t="e">
        <f>IF(ISNUMBER(MATCH(April[[#This Row],[Bemerkung]],Setup!$X$73:$X$86,0)),0,VLOOKUP(WEEKDAY(A8,2),Wochenzeiten[],3,0))</f>
        <v>#REF!</v>
      </c>
      <c r="I8" s="35" t="e">
        <f>IF(ISNUMBER(LOOKUP(April[[#This Row],[Bemerkung]],Setup!$X$71:$X72)),0,April[[#This Row],[Ende]]-April[[#This Row],[Beginn]]-April[[#This Row],[Pause]]-April[[#This Row],[Berechnungshilfe1]])</f>
        <v>#REF!</v>
      </c>
    </row>
    <row r="9" spans="1:15" ht="12.95" customHeight="1" x14ac:dyDescent="0.2">
      <c r="A9" s="53">
        <f t="shared" ref="A9:A37" si="1">A8+1</f>
        <v>43556</v>
      </c>
      <c r="B9" s="28">
        <v>0</v>
      </c>
      <c r="C9" s="28">
        <v>0</v>
      </c>
      <c r="D9" s="47">
        <f t="shared" si="0"/>
        <v>0</v>
      </c>
      <c r="E9" s="31">
        <f>April[[#This Row],[Ende]]-April[[#This Row],[Beginn]]-April[[#This Row],[Pause]]</f>
        <v>0</v>
      </c>
      <c r="F9" s="33">
        <f>$F$6+SUM($E$8:April[[#This Row],[Arbeitszeit]])</f>
        <v>-5</v>
      </c>
      <c r="H9" s="35" t="e">
        <f>IF(ISNUMBER(MATCH(April[[#This Row],[Bemerkung]],Setup!$X$73:$X$86,0)),0,VLOOKUP(WEEKDAY(A9,2),Wochenzeiten[],3,0))</f>
        <v>#REF!</v>
      </c>
      <c r="I9" s="35" t="e">
        <f>IF(ISNUMBER(LOOKUP(April[[#This Row],[Bemerkung]],Setup!$X$71:$X73)),0,April[[#This Row],[Ende]]-April[[#This Row],[Beginn]]-April[[#This Row],[Pause]]-April[[#This Row],[Berechnungshilfe1]])</f>
        <v>#REF!</v>
      </c>
    </row>
    <row r="10" spans="1:15" ht="12.95" customHeight="1" x14ac:dyDescent="0.2">
      <c r="A10" s="53">
        <f t="shared" si="1"/>
        <v>43557</v>
      </c>
      <c r="B10" s="28">
        <v>0</v>
      </c>
      <c r="C10" s="28">
        <v>0</v>
      </c>
      <c r="D10" s="47">
        <f t="shared" si="0"/>
        <v>0</v>
      </c>
      <c r="E10" s="31">
        <f>April[[#This Row],[Ende]]-April[[#This Row],[Beginn]]-April[[#This Row],[Pause]]</f>
        <v>0</v>
      </c>
      <c r="F10" s="33">
        <f>$F$6+SUM($E$8:April[[#This Row],[Arbeitszeit]])</f>
        <v>-5</v>
      </c>
      <c r="H10" s="35" t="e">
        <f>IF(ISNUMBER(MATCH(April[[#This Row],[Bemerkung]],Setup!$X$73:$X$86,0)),0,VLOOKUP(WEEKDAY(A10,2),Wochenzeiten[],3,0))</f>
        <v>#REF!</v>
      </c>
      <c r="I10" s="35" t="e">
        <f>IF(ISNUMBER(LOOKUP(April[[#This Row],[Bemerkung]],Setup!$X$71:$X74)),0,April[[#This Row],[Ende]]-April[[#This Row],[Beginn]]-April[[#This Row],[Pause]]-April[[#This Row],[Berechnungshilfe1]])</f>
        <v>#REF!</v>
      </c>
    </row>
    <row r="11" spans="1:15" ht="12.95" customHeight="1" x14ac:dyDescent="0.2">
      <c r="A11" s="53">
        <f t="shared" si="1"/>
        <v>43558</v>
      </c>
      <c r="B11" s="28">
        <v>0</v>
      </c>
      <c r="C11" s="28">
        <v>0</v>
      </c>
      <c r="D11" s="47">
        <f t="shared" si="0"/>
        <v>0</v>
      </c>
      <c r="E11" s="31">
        <f>April[[#This Row],[Ende]]-April[[#This Row],[Beginn]]-April[[#This Row],[Pause]]</f>
        <v>0</v>
      </c>
      <c r="F11" s="33">
        <f>$F$6+SUM($E$8:April[[#This Row],[Arbeitszeit]])</f>
        <v>-5</v>
      </c>
      <c r="H11" s="35" t="e">
        <f>IF(ISNUMBER(MATCH(April[[#This Row],[Bemerkung]],Setup!$X$73:$X$86,0)),0,VLOOKUP(WEEKDAY(A11,2),Wochenzeiten[],3,0))</f>
        <v>#REF!</v>
      </c>
      <c r="I11" s="35" t="e">
        <f>IF(ISNUMBER(LOOKUP(April[[#This Row],[Bemerkung]],Setup!$X$71:$X75)),0,April[[#This Row],[Ende]]-April[[#This Row],[Beginn]]-April[[#This Row],[Pause]]-April[[#This Row],[Berechnungshilfe1]])</f>
        <v>#REF!</v>
      </c>
    </row>
    <row r="12" spans="1:15" ht="12.95" customHeight="1" x14ac:dyDescent="0.2">
      <c r="A12" s="53">
        <f t="shared" si="1"/>
        <v>43559</v>
      </c>
      <c r="B12" s="28">
        <v>0</v>
      </c>
      <c r="C12" s="28">
        <v>0</v>
      </c>
      <c r="D12" s="47">
        <f t="shared" si="0"/>
        <v>0</v>
      </c>
      <c r="E12" s="31">
        <f>April[[#This Row],[Ende]]-April[[#This Row],[Beginn]]-April[[#This Row],[Pause]]</f>
        <v>0</v>
      </c>
      <c r="F12" s="33">
        <f>$F$6+SUM($E$8:April[[#This Row],[Arbeitszeit]])</f>
        <v>-5</v>
      </c>
      <c r="H12" s="35" t="e">
        <f>IF(ISNUMBER(MATCH(April[[#This Row],[Bemerkung]],Setup!$X$73:$X$86,0)),0,VLOOKUP(WEEKDAY(A12,2),Wochenzeiten[],3,0))</f>
        <v>#REF!</v>
      </c>
      <c r="I12" s="35" t="e">
        <f>IF(ISNUMBER(LOOKUP(April[[#This Row],[Bemerkung]],Setup!$X$71:$X76)),0,April[[#This Row],[Ende]]-April[[#This Row],[Beginn]]-April[[#This Row],[Pause]]-April[[#This Row],[Berechnungshilfe1]])</f>
        <v>#REF!</v>
      </c>
    </row>
    <row r="13" spans="1:15" ht="12.95" customHeight="1" x14ac:dyDescent="0.2">
      <c r="A13" s="53">
        <f t="shared" si="1"/>
        <v>43560</v>
      </c>
      <c r="B13" s="28">
        <v>0</v>
      </c>
      <c r="C13" s="28">
        <v>0</v>
      </c>
      <c r="D13" s="47">
        <f t="shared" si="0"/>
        <v>0</v>
      </c>
      <c r="E13" s="31">
        <f>April[[#This Row],[Ende]]-April[[#This Row],[Beginn]]-April[[#This Row],[Pause]]</f>
        <v>0</v>
      </c>
      <c r="F13" s="33">
        <f>$F$6+SUM($E$8:April[[#This Row],[Arbeitszeit]])</f>
        <v>-5</v>
      </c>
      <c r="G13" s="34"/>
      <c r="H13" s="35" t="e">
        <f>IF(ISNUMBER(MATCH(April[[#This Row],[Bemerkung]],Setup!$X$73:$X$86,0)),0,VLOOKUP(WEEKDAY(A13,2),Wochenzeiten[],3,0))</f>
        <v>#REF!</v>
      </c>
      <c r="I13" s="35" t="e">
        <f>IF(ISNUMBER(LOOKUP(April[[#This Row],[Bemerkung]],Setup!$X$71:$X77)),0,April[[#This Row],[Ende]]-April[[#This Row],[Beginn]]-April[[#This Row],[Pause]]-April[[#This Row],[Berechnungshilfe1]])</f>
        <v>#REF!</v>
      </c>
    </row>
    <row r="14" spans="1:15" ht="12.95" customHeight="1" x14ac:dyDescent="0.2">
      <c r="A14" s="53">
        <f t="shared" si="1"/>
        <v>43561</v>
      </c>
      <c r="B14" s="28">
        <v>0</v>
      </c>
      <c r="C14" s="28">
        <v>0</v>
      </c>
      <c r="D14" s="47">
        <f t="shared" si="0"/>
        <v>0</v>
      </c>
      <c r="E14" s="31">
        <f>April[[#This Row],[Ende]]-April[[#This Row],[Beginn]]-April[[#This Row],[Pause]]</f>
        <v>0</v>
      </c>
      <c r="F14" s="33">
        <f>$F$6+SUM($E$8:April[[#This Row],[Arbeitszeit]])</f>
        <v>-5</v>
      </c>
      <c r="G14" s="32" t="s">
        <v>22</v>
      </c>
      <c r="H14" s="35">
        <f>IF(ISNUMBER(MATCH(April[[#This Row],[Bemerkung]],Setup!$X$73:$X$86,0)),0,VLOOKUP(WEEKDAY(A14,2),Wochenzeiten[],3,0))</f>
        <v>0</v>
      </c>
      <c r="I14" s="35">
        <f>IF(ISNUMBER(LOOKUP(April[[#This Row],[Bemerkung]],Setup!$X$71:$X79)),0,April[[#This Row],[Ende]]-April[[#This Row],[Beginn]]-April[[#This Row],[Pause]]-April[[#This Row],[Berechnungshilfe1]])</f>
        <v>0</v>
      </c>
    </row>
    <row r="15" spans="1:15" ht="12.95" customHeight="1" x14ac:dyDescent="0.2">
      <c r="A15" s="53">
        <f t="shared" si="1"/>
        <v>43562</v>
      </c>
      <c r="B15" s="28">
        <v>0</v>
      </c>
      <c r="C15" s="28">
        <v>0</v>
      </c>
      <c r="D15" s="47">
        <f t="shared" si="0"/>
        <v>0</v>
      </c>
      <c r="E15" s="31">
        <f>April[[#This Row],[Ende]]-April[[#This Row],[Beginn]]-April[[#This Row],[Pause]]</f>
        <v>0</v>
      </c>
      <c r="F15" s="33">
        <f>$F$6+SUM($E$8:April[[#This Row],[Arbeitszeit]])</f>
        <v>-5</v>
      </c>
      <c r="G15" s="34"/>
      <c r="H15" s="35" t="e">
        <f>IF(ISNUMBER(MATCH(April[[#This Row],[Bemerkung]],Setup!$X$73:$X$86,0)),0,VLOOKUP(WEEKDAY(A15,2),Wochenzeiten[],3,0))</f>
        <v>#REF!</v>
      </c>
      <c r="I15" s="35" t="e">
        <f>IF(ISNUMBER(LOOKUP(April[[#This Row],[Bemerkung]],Setup!$X$71:$X80)),0,April[[#This Row],[Ende]]-April[[#This Row],[Beginn]]-April[[#This Row],[Pause]]-April[[#This Row],[Berechnungshilfe1]])</f>
        <v>#REF!</v>
      </c>
    </row>
    <row r="16" spans="1:15" ht="12.95" customHeight="1" x14ac:dyDescent="0.2">
      <c r="A16" s="53">
        <f t="shared" si="1"/>
        <v>43563</v>
      </c>
      <c r="B16" s="28">
        <v>0</v>
      </c>
      <c r="C16" s="28">
        <v>0</v>
      </c>
      <c r="D16" s="47">
        <f t="shared" si="0"/>
        <v>0</v>
      </c>
      <c r="E16" s="31">
        <f>April[[#This Row],[Ende]]-April[[#This Row],[Beginn]]-April[[#This Row],[Pause]]</f>
        <v>0</v>
      </c>
      <c r="F16" s="33">
        <f>$F$6+SUM($E$8:April[[#This Row],[Arbeitszeit]])</f>
        <v>-5</v>
      </c>
      <c r="G16" s="32" t="s">
        <v>83</v>
      </c>
      <c r="H16" s="35" t="e">
        <f>IF(ISNUMBER(MATCH(April[[#This Row],[Bemerkung]],Setup!$X$73:$X$86,0)),0,VLOOKUP(WEEKDAY(A16,2),Wochenzeiten[],3,0))</f>
        <v>#REF!</v>
      </c>
      <c r="I16" s="35" t="e">
        <f>IF(ISNUMBER(LOOKUP(April[[#This Row],[Bemerkung]],Setup!$X$71:$X81)),0,April[[#This Row],[Ende]]-April[[#This Row],[Beginn]]-April[[#This Row],[Pause]]-April[[#This Row],[Berechnungshilfe1]])</f>
        <v>#REF!</v>
      </c>
    </row>
    <row r="17" spans="1:9" ht="12.95" customHeight="1" x14ac:dyDescent="0.2">
      <c r="A17" s="53">
        <f t="shared" si="1"/>
        <v>43564</v>
      </c>
      <c r="B17" s="28">
        <v>0</v>
      </c>
      <c r="C17" s="28">
        <v>0</v>
      </c>
      <c r="D17" s="47">
        <f t="shared" si="0"/>
        <v>0</v>
      </c>
      <c r="E17" s="31">
        <f>April[[#This Row],[Ende]]-April[[#This Row],[Beginn]]-April[[#This Row],[Pause]]</f>
        <v>0</v>
      </c>
      <c r="F17" s="33">
        <f>$F$6+SUM($E$8:April[[#This Row],[Arbeitszeit]])</f>
        <v>-5</v>
      </c>
      <c r="G17" s="32" t="s">
        <v>83</v>
      </c>
      <c r="H17" s="35" t="e">
        <f>IF(ISNUMBER(MATCH(April[[#This Row],[Bemerkung]],Setup!$X$73:$X$86,0)),0,VLOOKUP(WEEKDAY(A17,2),Wochenzeiten[],3,0))</f>
        <v>#REF!</v>
      </c>
      <c r="I17" s="35" t="e">
        <f>IF(ISNUMBER(LOOKUP(April[[#This Row],[Bemerkung]],Setup!$X$71:$X82)),0,April[[#This Row],[Ende]]-April[[#This Row],[Beginn]]-April[[#This Row],[Pause]]-April[[#This Row],[Berechnungshilfe1]])</f>
        <v>#REF!</v>
      </c>
    </row>
    <row r="18" spans="1:9" ht="12.95" customHeight="1" x14ac:dyDescent="0.2">
      <c r="A18" s="53">
        <f t="shared" si="1"/>
        <v>43565</v>
      </c>
      <c r="B18" s="28">
        <v>0</v>
      </c>
      <c r="C18" s="28">
        <v>0</v>
      </c>
      <c r="D18" s="47">
        <f t="shared" si="0"/>
        <v>0</v>
      </c>
      <c r="E18" s="31">
        <f>April[[#This Row],[Ende]]-April[[#This Row],[Beginn]]-April[[#This Row],[Pause]]</f>
        <v>0</v>
      </c>
      <c r="F18" s="33">
        <f>$F$6+SUM($E$8:April[[#This Row],[Arbeitszeit]])</f>
        <v>-5</v>
      </c>
      <c r="G18" s="32"/>
      <c r="H18" s="35" t="e">
        <f>IF(ISNUMBER(MATCH(April[[#This Row],[Bemerkung]],Setup!$X$73:$X$86,0)),0,VLOOKUP(WEEKDAY(A18,2),Wochenzeiten[],3,0))</f>
        <v>#REF!</v>
      </c>
      <c r="I18" s="35" t="e">
        <f>IF(ISNUMBER(LOOKUP(April[[#This Row],[Bemerkung]],Setup!$X$71:$X83)),0,April[[#This Row],[Ende]]-April[[#This Row],[Beginn]]-April[[#This Row],[Pause]]-April[[#This Row],[Berechnungshilfe1]])</f>
        <v>#REF!</v>
      </c>
    </row>
    <row r="19" spans="1:9" ht="12.95" customHeight="1" x14ac:dyDescent="0.2">
      <c r="A19" s="53">
        <f t="shared" si="1"/>
        <v>43566</v>
      </c>
      <c r="B19" s="28">
        <v>0</v>
      </c>
      <c r="C19" s="28">
        <v>0</v>
      </c>
      <c r="D19" s="47">
        <f t="shared" si="0"/>
        <v>0</v>
      </c>
      <c r="E19" s="31">
        <f>April[[#This Row],[Ende]]-April[[#This Row],[Beginn]]-April[[#This Row],[Pause]]</f>
        <v>0</v>
      </c>
      <c r="F19" s="33">
        <f>$F$6+SUM($E$8:April[[#This Row],[Arbeitszeit]])</f>
        <v>-5</v>
      </c>
      <c r="G19" s="32"/>
      <c r="H19" s="35" t="e">
        <f>IF(ISNUMBER(MATCH(April[[#This Row],[Bemerkung]],Setup!$X$73:$X$86,0)),0,VLOOKUP(WEEKDAY(A19,2),Wochenzeiten[],3,0))</f>
        <v>#REF!</v>
      </c>
      <c r="I19" s="35" t="e">
        <f>IF(ISNUMBER(LOOKUP(April[[#This Row],[Bemerkung]],Setup!$X$71:$X84)),0,April[[#This Row],[Ende]]-April[[#This Row],[Beginn]]-April[[#This Row],[Pause]]-April[[#This Row],[Berechnungshilfe1]])</f>
        <v>#REF!</v>
      </c>
    </row>
    <row r="20" spans="1:9" ht="12.95" customHeight="1" x14ac:dyDescent="0.2">
      <c r="A20" s="53">
        <f t="shared" si="1"/>
        <v>43567</v>
      </c>
      <c r="B20" s="28">
        <v>0</v>
      </c>
      <c r="C20" s="28">
        <v>0</v>
      </c>
      <c r="D20" s="47">
        <f t="shared" si="0"/>
        <v>0</v>
      </c>
      <c r="E20" s="31">
        <f>April[[#This Row],[Ende]]-April[[#This Row],[Beginn]]-April[[#This Row],[Pause]]</f>
        <v>0</v>
      </c>
      <c r="F20" s="33">
        <f>$F$6+SUM($E$8:April[[#This Row],[Arbeitszeit]])</f>
        <v>-5</v>
      </c>
      <c r="G20" s="32"/>
      <c r="H20" s="35" t="e">
        <f>IF(ISNUMBER(MATCH(April[[#This Row],[Bemerkung]],Setup!$X$73:$X$86,0)),0,VLOOKUP(WEEKDAY(A20,2),Wochenzeiten[],3,0))</f>
        <v>#REF!</v>
      </c>
      <c r="I20" s="35" t="e">
        <f>IF(ISNUMBER(LOOKUP(April[[#This Row],[Bemerkung]],Setup!$X$71:$X85)),0,April[[#This Row],[Ende]]-April[[#This Row],[Beginn]]-April[[#This Row],[Pause]]-April[[#This Row],[Berechnungshilfe1]])</f>
        <v>#REF!</v>
      </c>
    </row>
    <row r="21" spans="1:9" ht="12.95" customHeight="1" x14ac:dyDescent="0.2">
      <c r="A21" s="53">
        <f t="shared" si="1"/>
        <v>43568</v>
      </c>
      <c r="B21" s="28">
        <v>0</v>
      </c>
      <c r="C21" s="28">
        <v>0</v>
      </c>
      <c r="D21" s="47">
        <f t="shared" si="0"/>
        <v>0</v>
      </c>
      <c r="E21" s="31">
        <f>April[[#This Row],[Ende]]-April[[#This Row],[Beginn]]-April[[#This Row],[Pause]]</f>
        <v>0</v>
      </c>
      <c r="F21" s="33">
        <f>$F$6+SUM($E$8:April[[#This Row],[Arbeitszeit]])</f>
        <v>-5</v>
      </c>
      <c r="G21" s="32"/>
      <c r="H21" s="35" t="e">
        <f>IF(ISNUMBER(MATCH(April[[#This Row],[Bemerkung]],Setup!$X$73:$X$86,0)),0,VLOOKUP(WEEKDAY(A21,2),Wochenzeiten[],3,0))</f>
        <v>#REF!</v>
      </c>
      <c r="I21" s="35" t="e">
        <f>IF(ISNUMBER(LOOKUP(April[[#This Row],[Bemerkung]],Setup!$X$71:$X86)),0,April[[#This Row],[Ende]]-April[[#This Row],[Beginn]]-April[[#This Row],[Pause]]-April[[#This Row],[Berechnungshilfe1]])</f>
        <v>#REF!</v>
      </c>
    </row>
    <row r="22" spans="1:9" ht="12.95" customHeight="1" x14ac:dyDescent="0.2">
      <c r="A22" s="53">
        <f t="shared" si="1"/>
        <v>43569</v>
      </c>
      <c r="B22" s="28">
        <v>0</v>
      </c>
      <c r="C22" s="28">
        <v>0</v>
      </c>
      <c r="D22" s="47">
        <f t="shared" si="0"/>
        <v>0</v>
      </c>
      <c r="E22" s="31">
        <f>April[[#This Row],[Ende]]-April[[#This Row],[Beginn]]-April[[#This Row],[Pause]]</f>
        <v>0</v>
      </c>
      <c r="F22" s="33">
        <f>$F$6+SUM($E$8:April[[#This Row],[Arbeitszeit]])</f>
        <v>-5</v>
      </c>
      <c r="G22" s="32"/>
      <c r="H22" s="35" t="e">
        <f>IF(ISNUMBER(MATCH(April[[#This Row],[Bemerkung]],Setup!$X$73:$X$86,0)),0,VLOOKUP(WEEKDAY(A22,2),Wochenzeiten[],3,0))</f>
        <v>#REF!</v>
      </c>
      <c r="I22" s="35" t="e">
        <f>IF(ISNUMBER(LOOKUP(April[[#This Row],[Bemerkung]],Setup!$X$71:$X87)),0,April[[#This Row],[Ende]]-April[[#This Row],[Beginn]]-April[[#This Row],[Pause]]-April[[#This Row],[Berechnungshilfe1]])</f>
        <v>#REF!</v>
      </c>
    </row>
    <row r="23" spans="1:9" ht="12.95" customHeight="1" x14ac:dyDescent="0.2">
      <c r="A23" s="53">
        <f t="shared" si="1"/>
        <v>43570</v>
      </c>
      <c r="B23" s="28">
        <v>0</v>
      </c>
      <c r="C23" s="28">
        <v>0</v>
      </c>
      <c r="D23" s="47">
        <f t="shared" si="0"/>
        <v>0</v>
      </c>
      <c r="E23" s="31">
        <f>April[[#This Row],[Ende]]-April[[#This Row],[Beginn]]-April[[#This Row],[Pause]]</f>
        <v>0</v>
      </c>
      <c r="F23" s="33">
        <f>$F$6+SUM($E$8:April[[#This Row],[Arbeitszeit]])</f>
        <v>-5</v>
      </c>
      <c r="G23" s="32"/>
      <c r="H23" s="35" t="e">
        <f>IF(ISNUMBER(MATCH(April[[#This Row],[Bemerkung]],Setup!$X$73:$X$86,0)),0,VLOOKUP(WEEKDAY(A23,2),Wochenzeiten[],3,0))</f>
        <v>#REF!</v>
      </c>
      <c r="I23" s="35" t="e">
        <f>IF(ISNUMBER(LOOKUP(April[[#This Row],[Bemerkung]],Setup!$X$71:$X87)),0,April[[#This Row],[Ende]]-April[[#This Row],[Beginn]]-April[[#This Row],[Pause]]-April[[#This Row],[Berechnungshilfe1]])</f>
        <v>#REF!</v>
      </c>
    </row>
    <row r="24" spans="1:9" ht="12.95" customHeight="1" x14ac:dyDescent="0.2">
      <c r="A24" s="53">
        <f t="shared" si="1"/>
        <v>43571</v>
      </c>
      <c r="B24" s="28">
        <v>0</v>
      </c>
      <c r="C24" s="28">
        <v>0</v>
      </c>
      <c r="D24" s="47">
        <f t="shared" si="0"/>
        <v>0</v>
      </c>
      <c r="E24" s="31">
        <f>April[[#This Row],[Ende]]-April[[#This Row],[Beginn]]-April[[#This Row],[Pause]]</f>
        <v>0</v>
      </c>
      <c r="F24" s="33">
        <f>$F$6+SUM($E$8:April[[#This Row],[Arbeitszeit]])</f>
        <v>-5</v>
      </c>
      <c r="G24" s="32"/>
      <c r="H24" s="35" t="e">
        <f>IF(ISNUMBER(MATCH(April[[#This Row],[Bemerkung]],Setup!$X$73:$X$86,0)),0,VLOOKUP(WEEKDAY(A24,2),Wochenzeiten[],3,0))</f>
        <v>#REF!</v>
      </c>
      <c r="I24" s="35" t="e">
        <f>IF(ISNUMBER(LOOKUP(April[[#This Row],[Bemerkung]],Setup!$X$71:$X88)),0,April[[#This Row],[Ende]]-April[[#This Row],[Beginn]]-April[[#This Row],[Pause]]-April[[#This Row],[Berechnungshilfe1]])</f>
        <v>#REF!</v>
      </c>
    </row>
    <row r="25" spans="1:9" ht="12.95" customHeight="1" x14ac:dyDescent="0.2">
      <c r="A25" s="53">
        <f t="shared" si="1"/>
        <v>43572</v>
      </c>
      <c r="B25" s="28">
        <v>0</v>
      </c>
      <c r="C25" s="28">
        <v>0</v>
      </c>
      <c r="D25" s="47">
        <f t="shared" si="0"/>
        <v>0</v>
      </c>
      <c r="E25" s="31">
        <f>April[[#This Row],[Ende]]-April[[#This Row],[Beginn]]-April[[#This Row],[Pause]]</f>
        <v>0</v>
      </c>
      <c r="F25" s="33">
        <f>$F$6+SUM($E$8:April[[#This Row],[Arbeitszeit]])</f>
        <v>-5</v>
      </c>
      <c r="G25" s="32"/>
      <c r="H25" s="35" t="e">
        <f>IF(ISNUMBER(MATCH(April[[#This Row],[Bemerkung]],Setup!$X$73:$X$86,0)),0,VLOOKUP(WEEKDAY(A25,2),Wochenzeiten[],3,0))</f>
        <v>#REF!</v>
      </c>
      <c r="I25" s="35" t="e">
        <f>IF(ISNUMBER(LOOKUP(April[[#This Row],[Bemerkung]],Setup!$X$71:$X89)),0,April[[#This Row],[Ende]]-April[[#This Row],[Beginn]]-April[[#This Row],[Pause]]-April[[#This Row],[Berechnungshilfe1]])</f>
        <v>#REF!</v>
      </c>
    </row>
    <row r="26" spans="1:9" ht="12.95" customHeight="1" x14ac:dyDescent="0.2">
      <c r="A26" s="53">
        <f t="shared" si="1"/>
        <v>43573</v>
      </c>
      <c r="B26" s="28">
        <v>0</v>
      </c>
      <c r="C26" s="28">
        <v>0</v>
      </c>
      <c r="D26" s="47">
        <f t="shared" si="0"/>
        <v>0</v>
      </c>
      <c r="E26" s="31">
        <f>April[[#This Row],[Ende]]-April[[#This Row],[Beginn]]-April[[#This Row],[Pause]]</f>
        <v>0</v>
      </c>
      <c r="F26" s="33">
        <f>$F$6+SUM($E$8:April[[#This Row],[Arbeitszeit]])</f>
        <v>-5</v>
      </c>
      <c r="G26" s="32"/>
      <c r="H26" s="35" t="e">
        <f>IF(ISNUMBER(MATCH(April[[#This Row],[Bemerkung]],Setup!$X$73:$X$86,0)),0,VLOOKUP(WEEKDAY(A26,2),Wochenzeiten[],3,0))</f>
        <v>#REF!</v>
      </c>
      <c r="I26" s="35" t="e">
        <f>IF(ISNUMBER(LOOKUP(April[[#This Row],[Bemerkung]],Setup!$X$71:$X90)),0,April[[#This Row],[Ende]]-April[[#This Row],[Beginn]]-April[[#This Row],[Pause]]-April[[#This Row],[Berechnungshilfe1]])</f>
        <v>#REF!</v>
      </c>
    </row>
    <row r="27" spans="1:9" ht="12.95" customHeight="1" x14ac:dyDescent="0.2">
      <c r="A27" s="53">
        <f t="shared" si="1"/>
        <v>43574</v>
      </c>
      <c r="B27" s="28">
        <v>0</v>
      </c>
      <c r="C27" s="28">
        <v>0</v>
      </c>
      <c r="D27" s="47">
        <f t="shared" si="0"/>
        <v>0</v>
      </c>
      <c r="E27" s="31">
        <f>April[[#This Row],[Ende]]-April[[#This Row],[Beginn]]-April[[#This Row],[Pause]]</f>
        <v>0</v>
      </c>
      <c r="F27" s="33">
        <f>$F$6+SUM($E$8:April[[#This Row],[Arbeitszeit]])</f>
        <v>-5</v>
      </c>
      <c r="G27" s="32"/>
      <c r="H27" s="35" t="e">
        <f>IF(ISNUMBER(MATCH(April[[#This Row],[Bemerkung]],Setup!$X$73:$X$86,0)),0,VLOOKUP(WEEKDAY(A27,2),Wochenzeiten[],3,0))</f>
        <v>#REF!</v>
      </c>
      <c r="I27" s="35" t="e">
        <f>IF(ISNUMBER(LOOKUP(April[[#This Row],[Bemerkung]],Setup!$X$71:$X91)),0,April[[#This Row],[Ende]]-April[[#This Row],[Beginn]]-April[[#This Row],[Pause]]-April[[#This Row],[Berechnungshilfe1]])</f>
        <v>#REF!</v>
      </c>
    </row>
    <row r="28" spans="1:9" ht="12.95" customHeight="1" x14ac:dyDescent="0.2">
      <c r="A28" s="53">
        <f t="shared" si="1"/>
        <v>43575</v>
      </c>
      <c r="B28" s="28">
        <v>0</v>
      </c>
      <c r="C28" s="28">
        <v>0</v>
      </c>
      <c r="D28" s="47">
        <f t="shared" si="0"/>
        <v>0</v>
      </c>
      <c r="E28" s="31">
        <f>April[[#This Row],[Ende]]-April[[#This Row],[Beginn]]-April[[#This Row],[Pause]]</f>
        <v>0</v>
      </c>
      <c r="F28" s="33">
        <f>$F$6+SUM($E$8:April[[#This Row],[Arbeitszeit]])</f>
        <v>-5</v>
      </c>
      <c r="G28" s="32"/>
      <c r="H28" s="35" t="e">
        <f>IF(ISNUMBER(MATCH(April[[#This Row],[Bemerkung]],Setup!$X$73:$X$86,0)),0,VLOOKUP(WEEKDAY(A28,2),Wochenzeiten[],3,0))</f>
        <v>#REF!</v>
      </c>
      <c r="I28" s="35" t="e">
        <f>IF(ISNUMBER(LOOKUP(April[[#This Row],[Bemerkung]],Setup!$X$71:$X92)),0,April[[#This Row],[Ende]]-April[[#This Row],[Beginn]]-April[[#This Row],[Pause]]-April[[#This Row],[Berechnungshilfe1]])</f>
        <v>#REF!</v>
      </c>
    </row>
    <row r="29" spans="1:9" ht="12.95" customHeight="1" x14ac:dyDescent="0.2">
      <c r="A29" s="53">
        <f t="shared" si="1"/>
        <v>43576</v>
      </c>
      <c r="B29" s="28">
        <v>0</v>
      </c>
      <c r="C29" s="28">
        <v>0</v>
      </c>
      <c r="D29" s="47">
        <f t="shared" si="0"/>
        <v>0</v>
      </c>
      <c r="E29" s="31">
        <f>April[[#This Row],[Ende]]-April[[#This Row],[Beginn]]-April[[#This Row],[Pause]]</f>
        <v>0</v>
      </c>
      <c r="F29" s="33">
        <f>$F$6+SUM($E$8:April[[#This Row],[Arbeitszeit]])</f>
        <v>-5</v>
      </c>
      <c r="G29" s="32"/>
      <c r="H29" s="35" t="e">
        <f>IF(ISNUMBER(MATCH(April[[#This Row],[Bemerkung]],Setup!$X$73:$X$86,0)),0,VLOOKUP(WEEKDAY(A29,2),Wochenzeiten[],3,0))</f>
        <v>#REF!</v>
      </c>
      <c r="I29" s="35" t="e">
        <f>IF(ISNUMBER(LOOKUP(April[[#This Row],[Bemerkung]],Setup!$X$71:$X93)),0,April[[#This Row],[Ende]]-April[[#This Row],[Beginn]]-April[[#This Row],[Pause]]-April[[#This Row],[Berechnungshilfe1]])</f>
        <v>#REF!</v>
      </c>
    </row>
    <row r="30" spans="1:9" ht="12.95" customHeight="1" x14ac:dyDescent="0.2">
      <c r="A30" s="53">
        <f t="shared" si="1"/>
        <v>43577</v>
      </c>
      <c r="B30" s="28">
        <v>0</v>
      </c>
      <c r="C30" s="28">
        <v>0</v>
      </c>
      <c r="D30" s="47">
        <f t="shared" si="0"/>
        <v>0</v>
      </c>
      <c r="E30" s="31">
        <f>April[[#This Row],[Ende]]-April[[#This Row],[Beginn]]-April[[#This Row],[Pause]]</f>
        <v>0</v>
      </c>
      <c r="F30" s="33">
        <f>$F$6+SUM($E$8:April[[#This Row],[Arbeitszeit]])</f>
        <v>-5</v>
      </c>
      <c r="G30" s="32"/>
      <c r="H30" s="35" t="e">
        <f>IF(ISNUMBER(MATCH(April[[#This Row],[Bemerkung]],Setup!$X$73:$X$86,0)),0,VLOOKUP(WEEKDAY(A30,2),Wochenzeiten[],3,0))</f>
        <v>#REF!</v>
      </c>
      <c r="I30" s="35" t="e">
        <f>IF(ISNUMBER(LOOKUP(April[[#This Row],[Bemerkung]],Setup!$X$71:$X94)),0,April[[#This Row],[Ende]]-April[[#This Row],[Beginn]]-April[[#This Row],[Pause]]-April[[#This Row],[Berechnungshilfe1]])</f>
        <v>#REF!</v>
      </c>
    </row>
    <row r="31" spans="1:9" ht="12.95" customHeight="1" x14ac:dyDescent="0.2">
      <c r="A31" s="53">
        <f t="shared" si="1"/>
        <v>43578</v>
      </c>
      <c r="B31" s="28">
        <v>0</v>
      </c>
      <c r="C31" s="28">
        <v>0</v>
      </c>
      <c r="D31" s="47">
        <f t="shared" si="0"/>
        <v>0</v>
      </c>
      <c r="E31" s="31">
        <f>April[[#This Row],[Ende]]-April[[#This Row],[Beginn]]-April[[#This Row],[Pause]]</f>
        <v>0</v>
      </c>
      <c r="F31" s="33">
        <f>$F$6+SUM($E$8:April[[#This Row],[Arbeitszeit]])</f>
        <v>-5</v>
      </c>
      <c r="G31" s="32"/>
      <c r="H31" s="35" t="e">
        <f>IF(ISNUMBER(MATCH(April[[#This Row],[Bemerkung]],Setup!$X$73:$X$86,0)),0,VLOOKUP(WEEKDAY(A31,2),Wochenzeiten[],3,0))</f>
        <v>#REF!</v>
      </c>
      <c r="I31" s="35" t="e">
        <f>IF(ISNUMBER(LOOKUP(April[[#This Row],[Bemerkung]],Setup!$X$71:$X95)),0,April[[#This Row],[Ende]]-April[[#This Row],[Beginn]]-April[[#This Row],[Pause]]-April[[#This Row],[Berechnungshilfe1]])</f>
        <v>#REF!</v>
      </c>
    </row>
    <row r="32" spans="1:9" ht="12.95" customHeight="1" x14ac:dyDescent="0.2">
      <c r="A32" s="53">
        <f t="shared" si="1"/>
        <v>43579</v>
      </c>
      <c r="B32" s="28">
        <v>0</v>
      </c>
      <c r="C32" s="28">
        <v>0</v>
      </c>
      <c r="D32" s="47">
        <f t="shared" si="0"/>
        <v>0</v>
      </c>
      <c r="E32" s="31">
        <f>April[[#This Row],[Ende]]-April[[#This Row],[Beginn]]-April[[#This Row],[Pause]]</f>
        <v>0</v>
      </c>
      <c r="F32" s="33">
        <f>$F$6+SUM($E$8:April[[#This Row],[Arbeitszeit]])</f>
        <v>-5</v>
      </c>
      <c r="G32" s="32"/>
      <c r="H32" s="35" t="e">
        <f>IF(ISNUMBER(MATCH(April[[#This Row],[Bemerkung]],Setup!$X$73:$X$86,0)),0,VLOOKUP(WEEKDAY(A32,2),Wochenzeiten[],3,0))</f>
        <v>#REF!</v>
      </c>
      <c r="I32" s="35" t="e">
        <f>IF(ISNUMBER(LOOKUP(April[[#This Row],[Bemerkung]],Setup!$X$71:$X96)),0,April[[#This Row],[Ende]]-April[[#This Row],[Beginn]]-April[[#This Row],[Pause]]-April[[#This Row],[Berechnungshilfe1]])</f>
        <v>#REF!</v>
      </c>
    </row>
    <row r="33" spans="1:9" ht="12.95" customHeight="1" x14ac:dyDescent="0.2">
      <c r="A33" s="53">
        <f t="shared" si="1"/>
        <v>43580</v>
      </c>
      <c r="B33" s="28">
        <v>0</v>
      </c>
      <c r="C33" s="28">
        <v>0</v>
      </c>
      <c r="D33" s="47">
        <f t="shared" si="0"/>
        <v>0</v>
      </c>
      <c r="E33" s="31">
        <f>April[[#This Row],[Ende]]-April[[#This Row],[Beginn]]-April[[#This Row],[Pause]]</f>
        <v>0</v>
      </c>
      <c r="F33" s="33">
        <f>$F$6+SUM($E$8:April[[#This Row],[Arbeitszeit]])</f>
        <v>-5</v>
      </c>
      <c r="G33" s="32"/>
      <c r="H33" s="35" t="e">
        <f>IF(ISNUMBER(MATCH(April[[#This Row],[Bemerkung]],Setup!$X$73:$X$86,0)),0,VLOOKUP(WEEKDAY(A33,2),Wochenzeiten[],3,0))</f>
        <v>#REF!</v>
      </c>
      <c r="I33" s="35" t="e">
        <f>IF(ISNUMBER(LOOKUP(April[[#This Row],[Bemerkung]],Setup!$X$71:$X97)),0,April[[#This Row],[Ende]]-April[[#This Row],[Beginn]]-April[[#This Row],[Pause]]-April[[#This Row],[Berechnungshilfe1]])</f>
        <v>#REF!</v>
      </c>
    </row>
    <row r="34" spans="1:9" ht="12.95" customHeight="1" x14ac:dyDescent="0.2">
      <c r="A34" s="53">
        <f t="shared" si="1"/>
        <v>43581</v>
      </c>
      <c r="B34" s="28">
        <v>0</v>
      </c>
      <c r="C34" s="28">
        <v>0</v>
      </c>
      <c r="D34" s="47">
        <f t="shared" si="0"/>
        <v>0</v>
      </c>
      <c r="E34" s="31">
        <f>April[[#This Row],[Ende]]-April[[#This Row],[Beginn]]-April[[#This Row],[Pause]]</f>
        <v>0</v>
      </c>
      <c r="F34" s="33">
        <f>$F$6+SUM($E$8:April[[#This Row],[Arbeitszeit]])</f>
        <v>-5</v>
      </c>
      <c r="G34" s="32"/>
      <c r="H34" s="35" t="e">
        <f>IF(ISNUMBER(MATCH(April[[#This Row],[Bemerkung]],Setup!$X$73:$X$86,0)),0,VLOOKUP(WEEKDAY(A34,2),Wochenzeiten[],3,0))</f>
        <v>#REF!</v>
      </c>
      <c r="I34" s="35" t="e">
        <f>IF(ISNUMBER(LOOKUP(April[[#This Row],[Bemerkung]],Setup!$X$71:$X98)),0,April[[#This Row],[Ende]]-April[[#This Row],[Beginn]]-April[[#This Row],[Pause]]-April[[#This Row],[Berechnungshilfe1]])</f>
        <v>#REF!</v>
      </c>
    </row>
    <row r="35" spans="1:9" ht="12.75" customHeight="1" x14ac:dyDescent="0.2">
      <c r="A35" s="53">
        <f t="shared" si="1"/>
        <v>43582</v>
      </c>
      <c r="B35" s="28">
        <v>0</v>
      </c>
      <c r="C35" s="28">
        <v>0</v>
      </c>
      <c r="D35" s="47">
        <f t="shared" si="0"/>
        <v>0</v>
      </c>
      <c r="E35" s="31">
        <f>April[[#This Row],[Ende]]-April[[#This Row],[Beginn]]-April[[#This Row],[Pause]]</f>
        <v>0</v>
      </c>
      <c r="F35" s="33">
        <f>$F$6+SUM($E$8:April[[#This Row],[Arbeitszeit]])</f>
        <v>-5</v>
      </c>
      <c r="G35" s="32"/>
      <c r="H35" s="35" t="e">
        <f>IF(ISNUMBER(MATCH(April[[#This Row],[Bemerkung]],Setup!$X$73:$X$86,0)),0,VLOOKUP(WEEKDAY(A35,2),Wochenzeiten[],3,0))</f>
        <v>#REF!</v>
      </c>
      <c r="I35" s="35" t="e">
        <f>IF(ISNUMBER(LOOKUP(April[[#This Row],[Bemerkung]],Setup!$X$71:$X99)),0,April[[#This Row],[Ende]]-April[[#This Row],[Beginn]]-April[[#This Row],[Pause]]-April[[#This Row],[Berechnungshilfe1]])</f>
        <v>#REF!</v>
      </c>
    </row>
    <row r="36" spans="1:9" ht="12.75" customHeight="1" x14ac:dyDescent="0.2">
      <c r="A36" s="53">
        <f t="shared" si="1"/>
        <v>43583</v>
      </c>
      <c r="B36" s="28">
        <v>0</v>
      </c>
      <c r="C36" s="28">
        <v>0</v>
      </c>
      <c r="D36" s="47">
        <f t="shared" si="0"/>
        <v>0</v>
      </c>
      <c r="E36" s="31">
        <f>April[[#This Row],[Ende]]-April[[#This Row],[Beginn]]-April[[#This Row],[Pause]]</f>
        <v>0</v>
      </c>
      <c r="F36" s="33">
        <f>$F$6+SUM($E$8:April[[#This Row],[Arbeitszeit]])</f>
        <v>-5</v>
      </c>
      <c r="G36" s="32"/>
      <c r="H36" s="35" t="e">
        <f>IF(ISNUMBER(MATCH(April[[#This Row],[Bemerkung]],Setup!$X$73:$X$86,0)),0,VLOOKUP(WEEKDAY(A36,2),Wochenzeiten[],3,0))</f>
        <v>#REF!</v>
      </c>
      <c r="I36" s="35" t="e">
        <f>IF(ISNUMBER(LOOKUP(April[[#This Row],[Bemerkung]],Setup!$X$71:$X100)),0,April[[#This Row],[Ende]]-April[[#This Row],[Beginn]]-April[[#This Row],[Pause]]-April[[#This Row],[Berechnungshilfe1]])</f>
        <v>#REF!</v>
      </c>
    </row>
    <row r="37" spans="1:9" ht="12.75" customHeight="1" x14ac:dyDescent="0.2">
      <c r="A37" s="53">
        <f t="shared" si="1"/>
        <v>43584</v>
      </c>
      <c r="B37" s="28">
        <v>0</v>
      </c>
      <c r="C37" s="28">
        <v>0</v>
      </c>
      <c r="D37" s="47">
        <f t="shared" si="0"/>
        <v>0</v>
      </c>
      <c r="E37" s="31">
        <f>April[[#This Row],[Ende]]-April[[#This Row],[Beginn]]-April[[#This Row],[Pause]]</f>
        <v>0</v>
      </c>
      <c r="F37" s="33">
        <f>$F$6+SUM($E$8:April[[#This Row],[Arbeitszeit]])</f>
        <v>-5</v>
      </c>
      <c r="G37" s="32"/>
      <c r="H37" s="35" t="e">
        <f>IF(ISNUMBER(MATCH(April[[#This Row],[Bemerkung]],Setup!$X$73:$X$86,0)),0,VLOOKUP(WEEKDAY(A37,2),Wochenzeiten[],3,0))</f>
        <v>#REF!</v>
      </c>
      <c r="I37" s="35" t="e">
        <f>IF(ISNUMBER(LOOKUP(April[[#This Row],[Bemerkung]],Setup!$X$71:$X101)),0,April[[#This Row],[Ende]]-April[[#This Row],[Beginn]]-April[[#This Row],[Pause]]-April[[#This Row],[Berechnungshilfe1]])</f>
        <v>#REF!</v>
      </c>
    </row>
    <row r="38" spans="1:9" ht="12.75" customHeight="1" x14ac:dyDescent="0.2">
      <c r="A38" s="36"/>
      <c r="B38" s="36"/>
      <c r="C38" s="68" t="s">
        <v>64</v>
      </c>
      <c r="D38" s="68"/>
      <c r="E38" s="68"/>
      <c r="F38" s="37">
        <f>SUM(April[Arbeitszeit])+$F$6-E46</f>
        <v>-6.666666666666667</v>
      </c>
      <c r="G38" s="38"/>
    </row>
    <row r="39" spans="1:9" ht="12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4.1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.95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  <row r="47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17" priority="1">
      <formula>WEEKDAY($A8,2)&gt;5</formula>
    </cfRule>
    <cfRule type="cellIs" dxfId="16" priority="6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J34" sqref="J34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DATE(Setup!C13,5,1)</f>
        <v>43585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April!F38</f>
        <v>-6.666666666666667</v>
      </c>
      <c r="G6" s="21"/>
      <c r="H6"/>
      <c r="I6"/>
    </row>
    <row r="7" spans="1:15" ht="12.95" hidden="1" customHeight="1" x14ac:dyDescent="0.2">
      <c r="A7" s="53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43585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Mai[[#This Row],[Ende]]-Mai[[#This Row],[Beginn]]-Mai[[#This Row],[Pause]]</f>
        <v>0</v>
      </c>
      <c r="F8" s="33">
        <f>$F$6+SUM($E$8:Mai[[#This Row],[Arbeitszeit]])</f>
        <v>-6.666666666666667</v>
      </c>
      <c r="G8" s="34" t="s">
        <v>24</v>
      </c>
      <c r="H8" s="35">
        <f>IF(ISNUMBER(MATCH(Mai[[#This Row],[Bemerkung]],Setup!$X$73:$X$86,0)),0,VLOOKUP(WEEKDAY(A8,2),Wochenzeiten[],3,0))</f>
        <v>0</v>
      </c>
      <c r="I8" s="35">
        <f>IF(ISNUMBER(LOOKUP(Mai[[#This Row],[Bemerkung]],Setup!$X$71:$X72)),0,Mai[[#This Row],[Ende]]-Mai[[#This Row],[Beginn]]-Mai[[#This Row],[Pause]]-Mai[[#This Row],[Berechnungshilfe1]])</f>
        <v>0</v>
      </c>
    </row>
    <row r="9" spans="1:15" ht="12.95" customHeight="1" x14ac:dyDescent="0.2">
      <c r="A9" s="53">
        <f t="shared" ref="A9:A38" si="1">A8+1</f>
        <v>43586</v>
      </c>
      <c r="B9" s="28">
        <v>0</v>
      </c>
      <c r="C9" s="28">
        <v>0</v>
      </c>
      <c r="D9" s="47">
        <f t="shared" si="0"/>
        <v>0</v>
      </c>
      <c r="E9" s="31">
        <f>Mai[[#This Row],[Ende]]-Mai[[#This Row],[Beginn]]-Mai[[#This Row],[Pause]]</f>
        <v>0</v>
      </c>
      <c r="F9" s="33">
        <f>$F$6+SUM($E$8:Mai[[#This Row],[Arbeitszeit]])</f>
        <v>-6.666666666666667</v>
      </c>
      <c r="G9" s="32"/>
      <c r="H9" s="35" t="e">
        <f>IF(ISNUMBER(MATCH(Mai[[#This Row],[Bemerkung]],Setup!$X$73:$X$86,0)),0,VLOOKUP(WEEKDAY(A9,2),Wochenzeiten[],3,0))</f>
        <v>#REF!</v>
      </c>
      <c r="I9" s="35" t="e">
        <f>IF(ISNUMBER(LOOKUP(Mai[[#This Row],[Bemerkung]],Setup!$X$71:$X73)),0,Mai[[#This Row],[Ende]]-Mai[[#This Row],[Beginn]]-Mai[[#This Row],[Pause]]-Mai[[#This Row],[Berechnungshilfe1]])</f>
        <v>#REF!</v>
      </c>
    </row>
    <row r="10" spans="1:15" ht="12.95" customHeight="1" x14ac:dyDescent="0.2">
      <c r="A10" s="53">
        <f t="shared" si="1"/>
        <v>43587</v>
      </c>
      <c r="B10" s="28">
        <v>0</v>
      </c>
      <c r="C10" s="28">
        <v>0</v>
      </c>
      <c r="D10" s="47">
        <f t="shared" si="0"/>
        <v>0</v>
      </c>
      <c r="E10" s="31">
        <f>Mai[[#This Row],[Ende]]-Mai[[#This Row],[Beginn]]-Mai[[#This Row],[Pause]]</f>
        <v>0</v>
      </c>
      <c r="F10" s="33">
        <f>$F$6+SUM($E$8:Mai[[#This Row],[Arbeitszeit]])</f>
        <v>-6.666666666666667</v>
      </c>
      <c r="G10" s="34"/>
      <c r="H10" s="35" t="e">
        <f>IF(ISNUMBER(MATCH(Mai[[#This Row],[Bemerkung]],Setup!$X$73:$X$86,0)),0,VLOOKUP(WEEKDAY(A10,2),Wochenzeiten[],3,0))</f>
        <v>#REF!</v>
      </c>
      <c r="I10" s="35" t="e">
        <f>IF(ISNUMBER(LOOKUP(Mai[[#This Row],[Bemerkung]],Setup!$X$71:$X74)),0,Mai[[#This Row],[Ende]]-Mai[[#This Row],[Beginn]]-Mai[[#This Row],[Pause]]-Mai[[#This Row],[Berechnungshilfe1]])</f>
        <v>#REF!</v>
      </c>
    </row>
    <row r="11" spans="1:15" ht="12.95" customHeight="1" x14ac:dyDescent="0.2">
      <c r="A11" s="53">
        <f t="shared" si="1"/>
        <v>43588</v>
      </c>
      <c r="B11" s="28">
        <v>0</v>
      </c>
      <c r="C11" s="28">
        <v>0</v>
      </c>
      <c r="D11" s="47">
        <f t="shared" si="0"/>
        <v>0</v>
      </c>
      <c r="E11" s="31">
        <f>Mai[[#This Row],[Ende]]-Mai[[#This Row],[Beginn]]-Mai[[#This Row],[Pause]]</f>
        <v>0</v>
      </c>
      <c r="F11" s="33">
        <f>$F$6+SUM($E$8:Mai[[#This Row],[Arbeitszeit]])</f>
        <v>-6.666666666666667</v>
      </c>
      <c r="G11" s="32"/>
      <c r="H11" s="35" t="e">
        <f>IF(ISNUMBER(MATCH(Mai[[#This Row],[Bemerkung]],Setup!$X$73:$X$86,0)),0,VLOOKUP(WEEKDAY(A11,2),Wochenzeiten[],3,0))</f>
        <v>#REF!</v>
      </c>
      <c r="I11" s="35" t="e">
        <f>IF(ISNUMBER(LOOKUP(Mai[[#This Row],[Bemerkung]],Setup!$X$71:$X75)),0,Mai[[#This Row],[Ende]]-Mai[[#This Row],[Beginn]]-Mai[[#This Row],[Pause]]-Mai[[#This Row],[Berechnungshilfe1]])</f>
        <v>#REF!</v>
      </c>
    </row>
    <row r="12" spans="1:15" ht="12.95" customHeight="1" x14ac:dyDescent="0.2">
      <c r="A12" s="53">
        <f t="shared" si="1"/>
        <v>43589</v>
      </c>
      <c r="B12" s="28">
        <v>0</v>
      </c>
      <c r="C12" s="28">
        <v>0</v>
      </c>
      <c r="D12" s="47">
        <f t="shared" si="0"/>
        <v>0</v>
      </c>
      <c r="E12" s="31">
        <f>Mai[[#This Row],[Ende]]-Mai[[#This Row],[Beginn]]-Mai[[#This Row],[Pause]]</f>
        <v>0</v>
      </c>
      <c r="F12" s="33">
        <f>$F$6+SUM($E$8:Mai[[#This Row],[Arbeitszeit]])</f>
        <v>-6.666666666666667</v>
      </c>
      <c r="G12" s="32"/>
      <c r="H12" s="35" t="e">
        <f>IF(ISNUMBER(MATCH(Mai[[#This Row],[Bemerkung]],Setup!$X$73:$X$86,0)),0,VLOOKUP(WEEKDAY(A12,2),Wochenzeiten[],3,0))</f>
        <v>#REF!</v>
      </c>
      <c r="I12" s="35" t="e">
        <f>IF(ISNUMBER(LOOKUP(Mai[[#This Row],[Bemerkung]],Setup!$X$71:$X76)),0,Mai[[#This Row],[Ende]]-Mai[[#This Row],[Beginn]]-Mai[[#This Row],[Pause]]-Mai[[#This Row],[Berechnungshilfe1]])</f>
        <v>#REF!</v>
      </c>
    </row>
    <row r="13" spans="1:15" ht="12.95" customHeight="1" x14ac:dyDescent="0.2">
      <c r="A13" s="53">
        <f t="shared" si="1"/>
        <v>43590</v>
      </c>
      <c r="B13" s="28">
        <v>0</v>
      </c>
      <c r="C13" s="28">
        <v>0</v>
      </c>
      <c r="D13" s="47">
        <f t="shared" si="0"/>
        <v>0</v>
      </c>
      <c r="E13" s="31">
        <f>Mai[[#This Row],[Ende]]-Mai[[#This Row],[Beginn]]-Mai[[#This Row],[Pause]]</f>
        <v>0</v>
      </c>
      <c r="F13" s="33">
        <f>$F$6+SUM($E$8:Mai[[#This Row],[Arbeitszeit]])</f>
        <v>-6.666666666666667</v>
      </c>
      <c r="G13" s="34"/>
      <c r="H13" s="35" t="e">
        <f>IF(ISNUMBER(MATCH(Mai[[#This Row],[Bemerkung]],Setup!$X$73:$X$86,0)),0,VLOOKUP(WEEKDAY(A13,2),Wochenzeiten[],3,0))</f>
        <v>#REF!</v>
      </c>
      <c r="I13" s="35" t="e">
        <f>IF(ISNUMBER(LOOKUP(Mai[[#This Row],[Bemerkung]],Setup!$X$71:$X77)),0,Mai[[#This Row],[Ende]]-Mai[[#This Row],[Beginn]]-Mai[[#This Row],[Pause]]-Mai[[#This Row],[Berechnungshilfe1]])</f>
        <v>#REF!</v>
      </c>
    </row>
    <row r="14" spans="1:15" ht="12.95" customHeight="1" x14ac:dyDescent="0.2">
      <c r="A14" s="53">
        <f t="shared" si="1"/>
        <v>43591</v>
      </c>
      <c r="B14" s="28">
        <v>0</v>
      </c>
      <c r="C14" s="28">
        <v>0</v>
      </c>
      <c r="D14" s="47">
        <f t="shared" si="0"/>
        <v>0</v>
      </c>
      <c r="E14" s="31">
        <f>Mai[[#This Row],[Ende]]-Mai[[#This Row],[Beginn]]-Mai[[#This Row],[Pause]]</f>
        <v>0</v>
      </c>
      <c r="F14" s="33">
        <f>$F$6+SUM($E$8:Mai[[#This Row],[Arbeitszeit]])</f>
        <v>-6.666666666666667</v>
      </c>
      <c r="G14" s="32"/>
      <c r="H14" s="35" t="e">
        <f>IF(ISNUMBER(MATCH(Mai[[#This Row],[Bemerkung]],Setup!$X$73:$X$86,0)),0,VLOOKUP(WEEKDAY(A14,2),Wochenzeiten[],3,0))</f>
        <v>#REF!</v>
      </c>
      <c r="I14" s="35" t="e">
        <f>IF(ISNUMBER(LOOKUP(Mai[[#This Row],[Bemerkung]],Setup!$X$71:$X79)),0,Mai[[#This Row],[Ende]]-Mai[[#This Row],[Beginn]]-Mai[[#This Row],[Pause]]-Mai[[#This Row],[Berechnungshilfe1]])</f>
        <v>#REF!</v>
      </c>
    </row>
    <row r="15" spans="1:15" ht="12.95" customHeight="1" x14ac:dyDescent="0.2">
      <c r="A15" s="53">
        <f t="shared" si="1"/>
        <v>43592</v>
      </c>
      <c r="B15" s="28">
        <v>0</v>
      </c>
      <c r="C15" s="28">
        <v>0</v>
      </c>
      <c r="D15" s="47">
        <f t="shared" si="0"/>
        <v>0</v>
      </c>
      <c r="E15" s="31">
        <f>Mai[[#This Row],[Ende]]-Mai[[#This Row],[Beginn]]-Mai[[#This Row],[Pause]]</f>
        <v>0</v>
      </c>
      <c r="F15" s="33">
        <f>$F$6+SUM($E$8:Mai[[#This Row],[Arbeitszeit]])</f>
        <v>-6.666666666666667</v>
      </c>
      <c r="G15" s="32"/>
      <c r="H15" s="35" t="e">
        <f>IF(ISNUMBER(MATCH(Mai[[#This Row],[Bemerkung]],Setup!$X$73:$X$86,0)),0,VLOOKUP(WEEKDAY(A15,2),Wochenzeiten[],3,0))</f>
        <v>#REF!</v>
      </c>
      <c r="I15" s="35" t="e">
        <f>IF(ISNUMBER(LOOKUP(Mai[[#This Row],[Bemerkung]],Setup!$X$71:$X80)),0,Mai[[#This Row],[Ende]]-Mai[[#This Row],[Beginn]]-Mai[[#This Row],[Pause]]-Mai[[#This Row],[Berechnungshilfe1]])</f>
        <v>#REF!</v>
      </c>
    </row>
    <row r="16" spans="1:15" ht="12.95" customHeight="1" x14ac:dyDescent="0.2">
      <c r="A16" s="53">
        <f t="shared" si="1"/>
        <v>43593</v>
      </c>
      <c r="B16" s="28">
        <v>0</v>
      </c>
      <c r="C16" s="28">
        <v>0</v>
      </c>
      <c r="D16" s="47">
        <f t="shared" si="0"/>
        <v>0</v>
      </c>
      <c r="E16" s="31">
        <f>Mai[[#This Row],[Ende]]-Mai[[#This Row],[Beginn]]-Mai[[#This Row],[Pause]]</f>
        <v>0</v>
      </c>
      <c r="F16" s="33">
        <f>$F$6+SUM($E$8:Mai[[#This Row],[Arbeitszeit]])</f>
        <v>-6.666666666666667</v>
      </c>
      <c r="G16" s="32"/>
      <c r="H16" s="35" t="e">
        <f>IF(ISNUMBER(MATCH(Mai[[#This Row],[Bemerkung]],Setup!$X$73:$X$86,0)),0,VLOOKUP(WEEKDAY(A16,2),Wochenzeiten[],3,0))</f>
        <v>#REF!</v>
      </c>
      <c r="I16" s="35" t="e">
        <f>IF(ISNUMBER(LOOKUP(Mai[[#This Row],[Bemerkung]],Setup!$X$71:$X81)),0,Mai[[#This Row],[Ende]]-Mai[[#This Row],[Beginn]]-Mai[[#This Row],[Pause]]-Mai[[#This Row],[Berechnungshilfe1]])</f>
        <v>#REF!</v>
      </c>
    </row>
    <row r="17" spans="1:9" ht="12.95" customHeight="1" x14ac:dyDescent="0.2">
      <c r="A17" s="53">
        <f t="shared" si="1"/>
        <v>43594</v>
      </c>
      <c r="B17" s="28">
        <v>0</v>
      </c>
      <c r="C17" s="28">
        <v>0</v>
      </c>
      <c r="D17" s="47">
        <f t="shared" si="0"/>
        <v>0</v>
      </c>
      <c r="E17" s="31">
        <f>Mai[[#This Row],[Ende]]-Mai[[#This Row],[Beginn]]-Mai[[#This Row],[Pause]]</f>
        <v>0</v>
      </c>
      <c r="F17" s="33">
        <f>$F$6+SUM($E$8:Mai[[#This Row],[Arbeitszeit]])</f>
        <v>-6.666666666666667</v>
      </c>
      <c r="G17" s="32"/>
      <c r="H17" s="35" t="e">
        <f>IF(ISNUMBER(MATCH(Mai[[#This Row],[Bemerkung]],Setup!$X$73:$X$86,0)),0,VLOOKUP(WEEKDAY(A17,2),Wochenzeiten[],3,0))</f>
        <v>#REF!</v>
      </c>
      <c r="I17" s="35" t="e">
        <f>IF(ISNUMBER(LOOKUP(Mai[[#This Row],[Bemerkung]],Setup!$X$71:$X82)),0,Mai[[#This Row],[Ende]]-Mai[[#This Row],[Beginn]]-Mai[[#This Row],[Pause]]-Mai[[#This Row],[Berechnungshilfe1]])</f>
        <v>#REF!</v>
      </c>
    </row>
    <row r="18" spans="1:9" ht="12.95" customHeight="1" x14ac:dyDescent="0.2">
      <c r="A18" s="53">
        <f t="shared" si="1"/>
        <v>43595</v>
      </c>
      <c r="B18" s="28">
        <v>0</v>
      </c>
      <c r="C18" s="28">
        <v>0</v>
      </c>
      <c r="D18" s="47">
        <f t="shared" si="0"/>
        <v>0</v>
      </c>
      <c r="E18" s="31">
        <f>Mai[[#This Row],[Ende]]-Mai[[#This Row],[Beginn]]-Mai[[#This Row],[Pause]]</f>
        <v>0</v>
      </c>
      <c r="F18" s="33">
        <f>$F$6+SUM($E$8:Mai[[#This Row],[Arbeitszeit]])</f>
        <v>-6.666666666666667</v>
      </c>
      <c r="G18" s="32"/>
      <c r="H18" s="35" t="e">
        <f>IF(ISNUMBER(MATCH(Mai[[#This Row],[Bemerkung]],Setup!$X$73:$X$86,0)),0,VLOOKUP(WEEKDAY(A18,2),Wochenzeiten[],3,0))</f>
        <v>#REF!</v>
      </c>
      <c r="I18" s="35" t="e">
        <f>IF(ISNUMBER(LOOKUP(Mai[[#This Row],[Bemerkung]],Setup!$X$71:$X83)),0,Mai[[#This Row],[Ende]]-Mai[[#This Row],[Beginn]]-Mai[[#This Row],[Pause]]-Mai[[#This Row],[Berechnungshilfe1]])</f>
        <v>#REF!</v>
      </c>
    </row>
    <row r="19" spans="1:9" ht="12.95" customHeight="1" x14ac:dyDescent="0.2">
      <c r="A19" s="53">
        <f t="shared" si="1"/>
        <v>43596</v>
      </c>
      <c r="B19" s="28">
        <v>0</v>
      </c>
      <c r="C19" s="28">
        <v>0</v>
      </c>
      <c r="D19" s="47">
        <f t="shared" si="0"/>
        <v>0</v>
      </c>
      <c r="E19" s="31">
        <f>Mai[[#This Row],[Ende]]-Mai[[#This Row],[Beginn]]-Mai[[#This Row],[Pause]]</f>
        <v>0</v>
      </c>
      <c r="F19" s="33">
        <f>$F$6+SUM($E$8:Mai[[#This Row],[Arbeitszeit]])</f>
        <v>-6.666666666666667</v>
      </c>
      <c r="G19" s="32"/>
      <c r="H19" s="35" t="e">
        <f>IF(ISNUMBER(MATCH(Mai[[#This Row],[Bemerkung]],Setup!$X$73:$X$86,0)),0,VLOOKUP(WEEKDAY(A19,2),Wochenzeiten[],3,0))</f>
        <v>#REF!</v>
      </c>
      <c r="I19" s="35" t="e">
        <f>IF(ISNUMBER(LOOKUP(Mai[[#This Row],[Bemerkung]],Setup!$X$71:$X84)),0,Mai[[#This Row],[Ende]]-Mai[[#This Row],[Beginn]]-Mai[[#This Row],[Pause]]-Mai[[#This Row],[Berechnungshilfe1]])</f>
        <v>#REF!</v>
      </c>
    </row>
    <row r="20" spans="1:9" ht="12.95" customHeight="1" x14ac:dyDescent="0.2">
      <c r="A20" s="53">
        <f t="shared" si="1"/>
        <v>43597</v>
      </c>
      <c r="B20" s="28">
        <v>0</v>
      </c>
      <c r="C20" s="28">
        <v>0</v>
      </c>
      <c r="D20" s="47">
        <f t="shared" si="0"/>
        <v>0</v>
      </c>
      <c r="E20" s="31">
        <f>Mai[[#This Row],[Ende]]-Mai[[#This Row],[Beginn]]-Mai[[#This Row],[Pause]]</f>
        <v>0</v>
      </c>
      <c r="F20" s="33">
        <f>$F$6+SUM($E$8:Mai[[#This Row],[Arbeitszeit]])</f>
        <v>-6.666666666666667</v>
      </c>
      <c r="H20" s="35" t="e">
        <f>IF(ISNUMBER(MATCH(Mai[[#This Row],[Bemerkung]],Setup!$X$73:$X$86,0)),0,VLOOKUP(WEEKDAY(A20,2),Wochenzeiten[],3,0))</f>
        <v>#REF!</v>
      </c>
      <c r="I20" s="35" t="e">
        <f>IF(ISNUMBER(LOOKUP(Mai[[#This Row],[Bemerkung]],Setup!$X$71:$X85)),0,Mai[[#This Row],[Ende]]-Mai[[#This Row],[Beginn]]-Mai[[#This Row],[Pause]]-Mai[[#This Row],[Berechnungshilfe1]])</f>
        <v>#REF!</v>
      </c>
    </row>
    <row r="21" spans="1:9" ht="12.95" customHeight="1" x14ac:dyDescent="0.2">
      <c r="A21" s="53">
        <f t="shared" si="1"/>
        <v>43598</v>
      </c>
      <c r="B21" s="28">
        <v>0</v>
      </c>
      <c r="C21" s="28">
        <v>0</v>
      </c>
      <c r="D21" s="47">
        <f t="shared" si="0"/>
        <v>0</v>
      </c>
      <c r="E21" s="31">
        <f>Mai[[#This Row],[Ende]]-Mai[[#This Row],[Beginn]]-Mai[[#This Row],[Pause]]</f>
        <v>0</v>
      </c>
      <c r="F21" s="33">
        <f>$F$6+SUM($E$8:Mai[[#This Row],[Arbeitszeit]])</f>
        <v>-6.666666666666667</v>
      </c>
      <c r="G21" s="34"/>
      <c r="H21" s="35" t="e">
        <f>IF(ISNUMBER(MATCH(Mai[[#This Row],[Bemerkung]],Setup!$X$73:$X$86,0)),0,VLOOKUP(WEEKDAY(A21,2),Wochenzeiten[],3,0))</f>
        <v>#REF!</v>
      </c>
      <c r="I21" s="35" t="e">
        <f>IF(ISNUMBER(LOOKUP(Mai[[#This Row],[Bemerkung]],Setup!$X$71:$X86)),0,Mai[[#This Row],[Ende]]-Mai[[#This Row],[Beginn]]-Mai[[#This Row],[Pause]]-Mai[[#This Row],[Berechnungshilfe1]])</f>
        <v>#REF!</v>
      </c>
    </row>
    <row r="22" spans="1:9" ht="12.95" customHeight="1" x14ac:dyDescent="0.2">
      <c r="A22" s="53">
        <f t="shared" si="1"/>
        <v>43599</v>
      </c>
      <c r="B22" s="28">
        <v>0</v>
      </c>
      <c r="C22" s="28">
        <v>0</v>
      </c>
      <c r="D22" s="47">
        <f t="shared" si="0"/>
        <v>0</v>
      </c>
      <c r="E22" s="31">
        <f>Mai[[#This Row],[Ende]]-Mai[[#This Row],[Beginn]]-Mai[[#This Row],[Pause]]</f>
        <v>0</v>
      </c>
      <c r="F22" s="33">
        <f>$F$6+SUM($E$8:Mai[[#This Row],[Arbeitszeit]])</f>
        <v>-6.666666666666667</v>
      </c>
      <c r="G22" s="32"/>
      <c r="H22" s="35" t="e">
        <f>IF(ISNUMBER(MATCH(Mai[[#This Row],[Bemerkung]],Setup!$X$73:$X$86,0)),0,VLOOKUP(WEEKDAY(A22,2),Wochenzeiten[],3,0))</f>
        <v>#REF!</v>
      </c>
      <c r="I22" s="35" t="e">
        <f>IF(ISNUMBER(LOOKUP(Mai[[#This Row],[Bemerkung]],Setup!$X$71:$X87)),0,Mai[[#This Row],[Ende]]-Mai[[#This Row],[Beginn]]-Mai[[#This Row],[Pause]]-Mai[[#This Row],[Berechnungshilfe1]])</f>
        <v>#REF!</v>
      </c>
    </row>
    <row r="23" spans="1:9" ht="12.95" customHeight="1" x14ac:dyDescent="0.2">
      <c r="A23" s="53">
        <f t="shared" si="1"/>
        <v>43600</v>
      </c>
      <c r="B23" s="28">
        <v>0</v>
      </c>
      <c r="C23" s="28">
        <v>0</v>
      </c>
      <c r="D23" s="47">
        <f t="shared" si="0"/>
        <v>0</v>
      </c>
      <c r="E23" s="31">
        <f>Mai[[#This Row],[Ende]]-Mai[[#This Row],[Beginn]]-Mai[[#This Row],[Pause]]</f>
        <v>0</v>
      </c>
      <c r="F23" s="33">
        <f>$F$6+SUM($E$8:Mai[[#This Row],[Arbeitszeit]])</f>
        <v>-6.666666666666667</v>
      </c>
      <c r="G23" s="32"/>
      <c r="H23" s="35" t="e">
        <f>IF(ISNUMBER(MATCH(Mai[[#This Row],[Bemerkung]],Setup!$X$73:$X$86,0)),0,VLOOKUP(WEEKDAY(A23,2),Wochenzeiten[],3,0))</f>
        <v>#REF!</v>
      </c>
      <c r="I23" s="35" t="e">
        <f>IF(ISNUMBER(LOOKUP(Mai[[#This Row],[Bemerkung]],Setup!$X$71:$X87)),0,Mai[[#This Row],[Ende]]-Mai[[#This Row],[Beginn]]-Mai[[#This Row],[Pause]]-Mai[[#This Row],[Berechnungshilfe1]])</f>
        <v>#REF!</v>
      </c>
    </row>
    <row r="24" spans="1:9" ht="12.95" customHeight="1" x14ac:dyDescent="0.2">
      <c r="A24" s="53">
        <f t="shared" si="1"/>
        <v>43601</v>
      </c>
      <c r="B24" s="28">
        <v>0</v>
      </c>
      <c r="C24" s="28">
        <v>0</v>
      </c>
      <c r="D24" s="47">
        <f t="shared" si="0"/>
        <v>0</v>
      </c>
      <c r="E24" s="31">
        <f>Mai[[#This Row],[Ende]]-Mai[[#This Row],[Beginn]]-Mai[[#This Row],[Pause]]</f>
        <v>0</v>
      </c>
      <c r="F24" s="33">
        <f>$F$6+SUM($E$8:Mai[[#This Row],[Arbeitszeit]])</f>
        <v>-6.666666666666667</v>
      </c>
      <c r="G24" s="32"/>
      <c r="H24" s="35" t="e">
        <f>IF(ISNUMBER(MATCH(Mai[[#This Row],[Bemerkung]],Setup!$X$73:$X$86,0)),0,VLOOKUP(WEEKDAY(A24,2),Wochenzeiten[],3,0))</f>
        <v>#REF!</v>
      </c>
      <c r="I24" s="35" t="e">
        <f>IF(ISNUMBER(LOOKUP(Mai[[#This Row],[Bemerkung]],Setup!$X$71:$X88)),0,Mai[[#This Row],[Ende]]-Mai[[#This Row],[Beginn]]-Mai[[#This Row],[Pause]]-Mai[[#This Row],[Berechnungshilfe1]])</f>
        <v>#REF!</v>
      </c>
    </row>
    <row r="25" spans="1:9" ht="12.95" customHeight="1" x14ac:dyDescent="0.2">
      <c r="A25" s="53">
        <f t="shared" si="1"/>
        <v>43602</v>
      </c>
      <c r="B25" s="28">
        <v>0</v>
      </c>
      <c r="C25" s="28">
        <v>0</v>
      </c>
      <c r="D25" s="47">
        <f t="shared" si="0"/>
        <v>0</v>
      </c>
      <c r="E25" s="31">
        <f>Mai[[#This Row],[Ende]]-Mai[[#This Row],[Beginn]]-Mai[[#This Row],[Pause]]</f>
        <v>0</v>
      </c>
      <c r="F25" s="33">
        <f>$F$6+SUM($E$8:Mai[[#This Row],[Arbeitszeit]])</f>
        <v>-6.666666666666667</v>
      </c>
      <c r="G25" s="32" t="s">
        <v>25</v>
      </c>
      <c r="H25" s="35">
        <f>IF(ISNUMBER(MATCH(Mai[[#This Row],[Bemerkung]],Setup!$X$73:$X$86,0)),0,VLOOKUP(WEEKDAY(A25,2),Wochenzeiten[],3,0))</f>
        <v>0</v>
      </c>
      <c r="I25" s="35">
        <f>IF(ISNUMBER(LOOKUP(Mai[[#This Row],[Bemerkung]],Setup!$X$71:$X89)),0,Mai[[#This Row],[Ende]]-Mai[[#This Row],[Beginn]]-Mai[[#This Row],[Pause]]-Mai[[#This Row],[Berechnungshilfe1]])</f>
        <v>0</v>
      </c>
    </row>
    <row r="26" spans="1:9" ht="12.95" customHeight="1" x14ac:dyDescent="0.2">
      <c r="A26" s="53">
        <f t="shared" si="1"/>
        <v>43603</v>
      </c>
      <c r="B26" s="28">
        <v>0</v>
      </c>
      <c r="C26" s="28">
        <v>0</v>
      </c>
      <c r="D26" s="47">
        <f t="shared" si="0"/>
        <v>0</v>
      </c>
      <c r="E26" s="31">
        <f>Mai[[#This Row],[Ende]]-Mai[[#This Row],[Beginn]]-Mai[[#This Row],[Pause]]</f>
        <v>0</v>
      </c>
      <c r="F26" s="33">
        <f>$F$6+SUM($E$8:Mai[[#This Row],[Arbeitszeit]])</f>
        <v>-6.666666666666667</v>
      </c>
      <c r="G26" s="32"/>
      <c r="H26" s="35" t="e">
        <f>IF(ISNUMBER(MATCH(Mai[[#This Row],[Bemerkung]],Setup!$X$73:$X$86,0)),0,VLOOKUP(WEEKDAY(A26,2),Wochenzeiten[],3,0))</f>
        <v>#REF!</v>
      </c>
      <c r="I26" s="35" t="e">
        <f>IF(ISNUMBER(LOOKUP(Mai[[#This Row],[Bemerkung]],Setup!$X$71:$X90)),0,Mai[[#This Row],[Ende]]-Mai[[#This Row],[Beginn]]-Mai[[#This Row],[Pause]]-Mai[[#This Row],[Berechnungshilfe1]])</f>
        <v>#REF!</v>
      </c>
    </row>
    <row r="27" spans="1:9" ht="12.95" customHeight="1" x14ac:dyDescent="0.2">
      <c r="A27" s="53">
        <f t="shared" si="1"/>
        <v>43604</v>
      </c>
      <c r="B27" s="28">
        <v>0</v>
      </c>
      <c r="C27" s="28">
        <v>0</v>
      </c>
      <c r="D27" s="47">
        <f t="shared" si="0"/>
        <v>0</v>
      </c>
      <c r="E27" s="31">
        <f>Mai[[#This Row],[Ende]]-Mai[[#This Row],[Beginn]]-Mai[[#This Row],[Pause]]</f>
        <v>0</v>
      </c>
      <c r="F27" s="33">
        <f>$F$6+SUM($E$8:Mai[[#This Row],[Arbeitszeit]])</f>
        <v>-6.666666666666667</v>
      </c>
      <c r="G27" s="32"/>
      <c r="H27" s="35" t="e">
        <f>IF(ISNUMBER(MATCH(Mai[[#This Row],[Bemerkung]],Setup!$X$73:$X$86,0)),0,VLOOKUP(WEEKDAY(A27,2),Wochenzeiten[],3,0))</f>
        <v>#REF!</v>
      </c>
      <c r="I27" s="35" t="e">
        <f>IF(ISNUMBER(LOOKUP(Mai[[#This Row],[Bemerkung]],Setup!$X$71:$X91)),0,Mai[[#This Row],[Ende]]-Mai[[#This Row],[Beginn]]-Mai[[#This Row],[Pause]]-Mai[[#This Row],[Berechnungshilfe1]])</f>
        <v>#REF!</v>
      </c>
    </row>
    <row r="28" spans="1:9" ht="12.95" customHeight="1" x14ac:dyDescent="0.2">
      <c r="A28" s="53">
        <f t="shared" si="1"/>
        <v>43605</v>
      </c>
      <c r="B28" s="28">
        <v>0</v>
      </c>
      <c r="C28" s="28">
        <v>0</v>
      </c>
      <c r="D28" s="47">
        <f t="shared" si="0"/>
        <v>0</v>
      </c>
      <c r="E28" s="31">
        <f>Mai[[#This Row],[Ende]]-Mai[[#This Row],[Beginn]]-Mai[[#This Row],[Pause]]</f>
        <v>0</v>
      </c>
      <c r="F28" s="33">
        <f>$F$6+SUM($E$8:Mai[[#This Row],[Arbeitszeit]])</f>
        <v>-6.666666666666667</v>
      </c>
      <c r="G28" s="32"/>
      <c r="H28" s="35" t="e">
        <f>IF(ISNUMBER(MATCH(Mai[[#This Row],[Bemerkung]],Setup!$X$73:$X$86,0)),0,VLOOKUP(WEEKDAY(A28,2),Wochenzeiten[],3,0))</f>
        <v>#REF!</v>
      </c>
      <c r="I28" s="35" t="e">
        <f>IF(ISNUMBER(LOOKUP(Mai[[#This Row],[Bemerkung]],Setup!$X$71:$X92)),0,Mai[[#This Row],[Ende]]-Mai[[#This Row],[Beginn]]-Mai[[#This Row],[Pause]]-Mai[[#This Row],[Berechnungshilfe1]])</f>
        <v>#REF!</v>
      </c>
    </row>
    <row r="29" spans="1:9" ht="12.95" customHeight="1" x14ac:dyDescent="0.2">
      <c r="A29" s="53">
        <f t="shared" si="1"/>
        <v>43606</v>
      </c>
      <c r="B29" s="28">
        <v>0</v>
      </c>
      <c r="C29" s="28">
        <v>0</v>
      </c>
      <c r="D29" s="47">
        <f t="shared" si="0"/>
        <v>0</v>
      </c>
      <c r="E29" s="31">
        <f>Mai[[#This Row],[Ende]]-Mai[[#This Row],[Beginn]]-Mai[[#This Row],[Pause]]</f>
        <v>0</v>
      </c>
      <c r="F29" s="33">
        <f>$F$6+SUM($E$8:Mai[[#This Row],[Arbeitszeit]])</f>
        <v>-6.666666666666667</v>
      </c>
      <c r="G29" s="32"/>
      <c r="H29" s="35" t="e">
        <f>IF(ISNUMBER(MATCH(Mai[[#This Row],[Bemerkung]],Setup!$X$73:$X$86,0)),0,VLOOKUP(WEEKDAY(A29,2),Wochenzeiten[],3,0))</f>
        <v>#REF!</v>
      </c>
      <c r="I29" s="35" t="e">
        <f>IF(ISNUMBER(LOOKUP(Mai[[#This Row],[Bemerkung]],Setup!$X$71:$X93)),0,Mai[[#This Row],[Ende]]-Mai[[#This Row],[Beginn]]-Mai[[#This Row],[Pause]]-Mai[[#This Row],[Berechnungshilfe1]])</f>
        <v>#REF!</v>
      </c>
    </row>
    <row r="30" spans="1:9" ht="12.95" customHeight="1" x14ac:dyDescent="0.2">
      <c r="A30" s="53">
        <f t="shared" si="1"/>
        <v>43607</v>
      </c>
      <c r="B30" s="28">
        <v>0</v>
      </c>
      <c r="C30" s="28">
        <v>0</v>
      </c>
      <c r="D30" s="47">
        <f t="shared" si="0"/>
        <v>0</v>
      </c>
      <c r="E30" s="31">
        <f>Mai[[#This Row],[Ende]]-Mai[[#This Row],[Beginn]]-Mai[[#This Row],[Pause]]</f>
        <v>0</v>
      </c>
      <c r="F30" s="33">
        <f>$F$6+SUM($E$8:Mai[[#This Row],[Arbeitszeit]])</f>
        <v>-6.666666666666667</v>
      </c>
      <c r="H30" s="35" t="e">
        <f>IF(ISNUMBER(MATCH(Mai[[#This Row],[Bemerkung]],Setup!$X$73:$X$86,0)),0,VLOOKUP(WEEKDAY(A30,2),Wochenzeiten[],3,0))</f>
        <v>#REF!</v>
      </c>
      <c r="I30" s="35" t="e">
        <f>IF(ISNUMBER(LOOKUP(Mai[[#This Row],[Bemerkung]],Setup!$X$71:$X94)),0,Mai[[#This Row],[Ende]]-Mai[[#This Row],[Beginn]]-Mai[[#This Row],[Pause]]-Mai[[#This Row],[Berechnungshilfe1]])</f>
        <v>#REF!</v>
      </c>
    </row>
    <row r="31" spans="1:9" ht="12.95" customHeight="1" x14ac:dyDescent="0.2">
      <c r="A31" s="53">
        <f t="shared" si="1"/>
        <v>43608</v>
      </c>
      <c r="B31" s="28">
        <v>0</v>
      </c>
      <c r="C31" s="28">
        <v>0</v>
      </c>
      <c r="D31" s="47">
        <f t="shared" si="0"/>
        <v>0</v>
      </c>
      <c r="E31" s="31">
        <f>Mai[[#This Row],[Ende]]-Mai[[#This Row],[Beginn]]-Mai[[#This Row],[Pause]]</f>
        <v>0</v>
      </c>
      <c r="F31" s="33">
        <f>$F$6+SUM($E$8:Mai[[#This Row],[Arbeitszeit]])</f>
        <v>-6.666666666666667</v>
      </c>
      <c r="H31" s="35" t="e">
        <f>IF(ISNUMBER(MATCH(Mai[[#This Row],[Bemerkung]],Setup!$X$73:$X$86,0)),0,VLOOKUP(WEEKDAY(A31,2),Wochenzeiten[],3,0))</f>
        <v>#REF!</v>
      </c>
      <c r="I31" s="35" t="e">
        <f>IF(ISNUMBER(LOOKUP(Mai[[#This Row],[Bemerkung]],Setup!$X$71:$X95)),0,Mai[[#This Row],[Ende]]-Mai[[#This Row],[Beginn]]-Mai[[#This Row],[Pause]]-Mai[[#This Row],[Berechnungshilfe1]])</f>
        <v>#REF!</v>
      </c>
    </row>
    <row r="32" spans="1:9" ht="12.95" customHeight="1" x14ac:dyDescent="0.2">
      <c r="A32" s="53">
        <f t="shared" si="1"/>
        <v>43609</v>
      </c>
      <c r="B32" s="28">
        <v>0</v>
      </c>
      <c r="C32" s="28">
        <v>0</v>
      </c>
      <c r="D32" s="47">
        <f t="shared" si="0"/>
        <v>0</v>
      </c>
      <c r="E32" s="31">
        <f>Mai[[#This Row],[Ende]]-Mai[[#This Row],[Beginn]]-Mai[[#This Row],[Pause]]</f>
        <v>0</v>
      </c>
      <c r="F32" s="33">
        <f>$F$6+SUM($E$8:Mai[[#This Row],[Arbeitszeit]])</f>
        <v>-6.666666666666667</v>
      </c>
      <c r="G32" s="34"/>
      <c r="H32" s="35" t="e">
        <f>IF(ISNUMBER(MATCH(Mai[[#This Row],[Bemerkung]],Setup!$X$73:$X$86,0)),0,VLOOKUP(WEEKDAY(A32,2),Wochenzeiten[],3,0))</f>
        <v>#REF!</v>
      </c>
      <c r="I32" s="35" t="e">
        <f>IF(ISNUMBER(LOOKUP(Mai[[#This Row],[Bemerkung]],Setup!$X$71:$X96)),0,Mai[[#This Row],[Ende]]-Mai[[#This Row],[Beginn]]-Mai[[#This Row],[Pause]]-Mai[[#This Row],[Berechnungshilfe1]])</f>
        <v>#REF!</v>
      </c>
    </row>
    <row r="33" spans="1:9" ht="12.95" customHeight="1" x14ac:dyDescent="0.2">
      <c r="A33" s="53">
        <f t="shared" si="1"/>
        <v>43610</v>
      </c>
      <c r="B33" s="28">
        <v>0</v>
      </c>
      <c r="C33" s="28">
        <v>0</v>
      </c>
      <c r="D33" s="47">
        <f t="shared" si="0"/>
        <v>0</v>
      </c>
      <c r="E33" s="31">
        <f>Mai[[#This Row],[Ende]]-Mai[[#This Row],[Beginn]]-Mai[[#This Row],[Pause]]</f>
        <v>0</v>
      </c>
      <c r="F33" s="33">
        <f>$F$6+SUM($E$8:Mai[[#This Row],[Arbeitszeit]])</f>
        <v>-6.666666666666667</v>
      </c>
      <c r="G33" s="32"/>
      <c r="H33" s="35" t="e">
        <f>IF(ISNUMBER(MATCH(Mai[[#This Row],[Bemerkung]],Setup!$X$73:$X$86,0)),0,VLOOKUP(WEEKDAY(A33,2),Wochenzeiten[],3,0))</f>
        <v>#REF!</v>
      </c>
      <c r="I33" s="35" t="e">
        <f>IF(ISNUMBER(LOOKUP(Mai[[#This Row],[Bemerkung]],Setup!$X$71:$X97)),0,Mai[[#This Row],[Ende]]-Mai[[#This Row],[Beginn]]-Mai[[#This Row],[Pause]]-Mai[[#This Row],[Berechnungshilfe1]])</f>
        <v>#REF!</v>
      </c>
    </row>
    <row r="34" spans="1:9" ht="12.95" customHeight="1" x14ac:dyDescent="0.2">
      <c r="A34" s="53">
        <f t="shared" si="1"/>
        <v>43611</v>
      </c>
      <c r="B34" s="28">
        <v>0</v>
      </c>
      <c r="C34" s="28">
        <v>0</v>
      </c>
      <c r="D34" s="47">
        <f t="shared" si="0"/>
        <v>0</v>
      </c>
      <c r="E34" s="31">
        <f>Mai[[#This Row],[Ende]]-Mai[[#This Row],[Beginn]]-Mai[[#This Row],[Pause]]</f>
        <v>0</v>
      </c>
      <c r="F34" s="33">
        <f>$F$6+SUM($E$8:Mai[[#This Row],[Arbeitszeit]])</f>
        <v>-6.666666666666667</v>
      </c>
      <c r="G34" s="32"/>
      <c r="H34" s="35" t="e">
        <f>IF(ISNUMBER(MATCH(Mai[[#This Row],[Bemerkung]],Setup!$X$73:$X$86,0)),0,VLOOKUP(WEEKDAY(A34,2),Wochenzeiten[],3,0))</f>
        <v>#REF!</v>
      </c>
      <c r="I34" s="35" t="e">
        <f>IF(ISNUMBER(LOOKUP(Mai[[#This Row],[Bemerkung]],Setup!$X$71:$X98)),0,Mai[[#This Row],[Ende]]-Mai[[#This Row],[Beginn]]-Mai[[#This Row],[Pause]]-Mai[[#This Row],[Berechnungshilfe1]])</f>
        <v>#REF!</v>
      </c>
    </row>
    <row r="35" spans="1:9" ht="12.75" customHeight="1" x14ac:dyDescent="0.2">
      <c r="A35" s="53">
        <f t="shared" si="1"/>
        <v>43612</v>
      </c>
      <c r="B35" s="28">
        <v>0</v>
      </c>
      <c r="C35" s="28">
        <v>0</v>
      </c>
      <c r="D35" s="47">
        <f t="shared" si="0"/>
        <v>0</v>
      </c>
      <c r="E35" s="31">
        <f>Mai[[#This Row],[Ende]]-Mai[[#This Row],[Beginn]]-Mai[[#This Row],[Pause]]</f>
        <v>0</v>
      </c>
      <c r="F35" s="33">
        <f>$F$6+SUM($E$8:Mai[[#This Row],[Arbeitszeit]])</f>
        <v>-6.666666666666667</v>
      </c>
      <c r="G35" s="32" t="s">
        <v>84</v>
      </c>
      <c r="H35" s="35" t="e">
        <f>IF(ISNUMBER(MATCH(Mai[[#This Row],[Bemerkung]],Setup!$X$73:$X$86,0)),0,VLOOKUP(WEEKDAY(A35,2),Wochenzeiten[],3,0))</f>
        <v>#REF!</v>
      </c>
      <c r="I35" s="35" t="e">
        <f>IF(ISNUMBER(LOOKUP(Mai[[#This Row],[Bemerkung]],Setup!$X$71:$X99)),0,Mai[[#This Row],[Ende]]-Mai[[#This Row],[Beginn]]-Mai[[#This Row],[Pause]]-Mai[[#This Row],[Berechnungshilfe1]])</f>
        <v>#REF!</v>
      </c>
    </row>
    <row r="36" spans="1:9" ht="12.75" customHeight="1" x14ac:dyDescent="0.2">
      <c r="A36" s="53">
        <f t="shared" si="1"/>
        <v>43613</v>
      </c>
      <c r="B36" s="28">
        <v>0</v>
      </c>
      <c r="C36" s="28">
        <v>0</v>
      </c>
      <c r="D36" s="47">
        <f t="shared" si="0"/>
        <v>0</v>
      </c>
      <c r="E36" s="31">
        <f>Mai[[#This Row],[Ende]]-Mai[[#This Row],[Beginn]]-Mai[[#This Row],[Pause]]</f>
        <v>0</v>
      </c>
      <c r="F36" s="33">
        <f>$F$6+SUM($E$8:Mai[[#This Row],[Arbeitszeit]])</f>
        <v>-6.666666666666667</v>
      </c>
      <c r="G36" s="32" t="s">
        <v>84</v>
      </c>
      <c r="H36" s="35" t="e">
        <f>IF(ISNUMBER(MATCH(Mai[[#This Row],[Bemerkung]],Setup!$X$73:$X$86,0)),0,VLOOKUP(WEEKDAY(A36,2),Wochenzeiten[],3,0))</f>
        <v>#REF!</v>
      </c>
      <c r="I36" s="35" t="e">
        <f>IF(ISNUMBER(LOOKUP(Mai[[#This Row],[Bemerkung]],Setup!$X$71:$X100)),0,Mai[[#This Row],[Ende]]-Mai[[#This Row],[Beginn]]-Mai[[#This Row],[Pause]]-Mai[[#This Row],[Berechnungshilfe1]])</f>
        <v>#REF!</v>
      </c>
    </row>
    <row r="37" spans="1:9" ht="12.75" customHeight="1" x14ac:dyDescent="0.2">
      <c r="A37" s="53">
        <f t="shared" si="1"/>
        <v>43614</v>
      </c>
      <c r="B37" s="28">
        <v>0</v>
      </c>
      <c r="C37" s="28">
        <v>0</v>
      </c>
      <c r="D37" s="47">
        <f t="shared" si="0"/>
        <v>0</v>
      </c>
      <c r="E37" s="31">
        <f>Mai[[#This Row],[Ende]]-Mai[[#This Row],[Beginn]]-Mai[[#This Row],[Pause]]</f>
        <v>0</v>
      </c>
      <c r="F37" s="33">
        <f>$F$6+SUM($E$8:Mai[[#This Row],[Arbeitszeit]])</f>
        <v>-6.666666666666667</v>
      </c>
      <c r="G37" s="32"/>
      <c r="H37" s="35" t="e">
        <f>IF(ISNUMBER(MATCH(Mai[[#This Row],[Bemerkung]],Setup!$X$73:$X$86,0)),0,VLOOKUP(WEEKDAY(A37,2),Wochenzeiten[],3,0))</f>
        <v>#REF!</v>
      </c>
      <c r="I37" s="35" t="e">
        <f>IF(ISNUMBER(LOOKUP(Mai[[#This Row],[Bemerkung]],Setup!$X$71:$X101)),0,Mai[[#This Row],[Ende]]-Mai[[#This Row],[Beginn]]-Mai[[#This Row],[Pause]]-Mai[[#This Row],[Berechnungshilfe1]])</f>
        <v>#REF!</v>
      </c>
    </row>
    <row r="38" spans="1:9" ht="12.75" customHeight="1" x14ac:dyDescent="0.2">
      <c r="A38" s="53">
        <f t="shared" si="1"/>
        <v>43615</v>
      </c>
      <c r="B38" s="28">
        <v>0</v>
      </c>
      <c r="C38" s="28">
        <v>0</v>
      </c>
      <c r="D38" s="47">
        <f t="shared" si="0"/>
        <v>0</v>
      </c>
      <c r="E38" s="31">
        <f>Mai[[#This Row],[Ende]]-Mai[[#This Row],[Beginn]]-Mai[[#This Row],[Pause]]</f>
        <v>0</v>
      </c>
      <c r="F38" s="33">
        <f>$F$6+SUM($E$8:Mai[[#This Row],[Arbeitszeit]])</f>
        <v>-6.666666666666667</v>
      </c>
      <c r="G38" s="32"/>
      <c r="H38" s="35" t="e">
        <f>IF(ISNUMBER(MATCH(Mai[[#This Row],[Bemerkung]],Setup!$X$73:$X$86,0)),0,VLOOKUP(WEEKDAY(A38,2),Wochenzeiten[],3,0))</f>
        <v>#REF!</v>
      </c>
      <c r="I38" s="35" t="e">
        <f>IF(ISNUMBER(LOOKUP(Mai[[#This Row],[Bemerkung]],Setup!$X$71:$X102)),0,Mai[[#This Row],[Ende]]-Mai[[#This Row],[Beginn]]-Mai[[#This Row],[Pause]]-Mai[[#This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SUM(Mai[Arbeitszeit])+$F$6-E47</f>
        <v>-8.3333333333333339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5" priority="3">
      <formula>WEEKDAY($A8,2)&gt;5</formula>
    </cfRule>
    <cfRule type="cellIs" dxfId="14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DATE(Setup!C13,6,1)</f>
        <v>43616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Mai!F39</f>
        <v>-8.3333333333333339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  <c r="J7" s="19" t="s">
        <v>81</v>
      </c>
      <c r="K7" s="19" t="s">
        <v>82</v>
      </c>
    </row>
    <row r="8" spans="1:15" ht="12.95" customHeight="1" x14ac:dyDescent="0.2">
      <c r="A8" s="53">
        <f>F4</f>
        <v>43616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Juni[[#This Row],[Ende]]-Juni[[#This Row],[Beginn]]-Juni[[#This Row],[Pause]]</f>
        <v>0</v>
      </c>
      <c r="F8" s="33">
        <f>$F$6+SUM($E$8:Juni[[#This Row],[Arbeitszeit]])</f>
        <v>-8.3333333333333339</v>
      </c>
      <c r="G8" s="32"/>
      <c r="H8" s="35" t="e">
        <f>IF(ISNUMBER(MATCH(Juni[[#This Row],[Bemerkung]],Setup!$X$73:$X$86,0)),0,VLOOKUP(WEEKDAY(A8,2),Wochenzeiten[],3,0))</f>
        <v>#REF!</v>
      </c>
      <c r="I8" s="35" t="e">
        <f>IF(ISNUMBER(LOOKUP(Juni[[#This Row],[Bemerkung]],Setup!$X$71:$X72)),0,Juni[[#This Row],[Ende]]-Juni[[#This Row],[Beginn]]-Juni[[#This Row],[Pause]]-Juni[[#This Row],[Berechnungshilfe1]])</f>
        <v>#REF!</v>
      </c>
    </row>
    <row r="9" spans="1:15" ht="12.95" customHeight="1" x14ac:dyDescent="0.2">
      <c r="A9" s="53">
        <f t="shared" ref="A9:A37" si="1">A8+1</f>
        <v>43617</v>
      </c>
      <c r="B9" s="28">
        <v>0</v>
      </c>
      <c r="C9" s="28">
        <v>0</v>
      </c>
      <c r="D9" s="47">
        <f t="shared" si="0"/>
        <v>0</v>
      </c>
      <c r="E9" s="31">
        <f>Juni[[#This Row],[Ende]]-Juni[[#This Row],[Beginn]]-Juni[[#This Row],[Pause]]</f>
        <v>0</v>
      </c>
      <c r="F9" s="33">
        <f>$F$6+SUM($E$8:Juni[[#This Row],[Arbeitszeit]])</f>
        <v>-8.3333333333333339</v>
      </c>
      <c r="G9" s="32"/>
      <c r="H9" s="35" t="e">
        <f>IF(ISNUMBER(MATCH(Juni[[#This Row],[Bemerkung]],Setup!$X$73:$X$86,0)),0,VLOOKUP(WEEKDAY(A9,2),Wochenzeiten[],3,0))</f>
        <v>#REF!</v>
      </c>
      <c r="I9" s="35" t="e">
        <f>IF(ISNUMBER(LOOKUP(Juni[[#This Row],[Bemerkung]],Setup!$X$71:$X73)),0,Juni[[#This Row],[Ende]]-Juni[[#This Row],[Beginn]]-Juni[[#This Row],[Pause]]-Juni[[#This Row],[Berechnungshilfe1]])</f>
        <v>#REF!</v>
      </c>
    </row>
    <row r="10" spans="1:15" ht="12.95" customHeight="1" x14ac:dyDescent="0.2">
      <c r="A10" s="53">
        <f t="shared" si="1"/>
        <v>43618</v>
      </c>
      <c r="B10" s="28">
        <v>0</v>
      </c>
      <c r="C10" s="28">
        <v>0</v>
      </c>
      <c r="D10" s="47">
        <f t="shared" si="0"/>
        <v>0</v>
      </c>
      <c r="E10" s="31">
        <f>Juni[[#This Row],[Ende]]-Juni[[#This Row],[Beginn]]-Juni[[#This Row],[Pause]]</f>
        <v>0</v>
      </c>
      <c r="F10" s="33">
        <f>$F$6+SUM($E$8:Juni[[#This Row],[Arbeitszeit]])</f>
        <v>-8.3333333333333339</v>
      </c>
      <c r="G10" s="34"/>
      <c r="H10" s="35" t="e">
        <f>IF(ISNUMBER(MATCH(Juni[[#This Row],[Bemerkung]],Setup!$X$73:$X$86,0)),0,VLOOKUP(WEEKDAY(A10,2),Wochenzeiten[],3,0))</f>
        <v>#REF!</v>
      </c>
      <c r="I10" s="35" t="e">
        <f>IF(ISNUMBER(LOOKUP(Juni[[#This Row],[Bemerkung]],Setup!$X$71:$X74)),0,Juni[[#This Row],[Ende]]-Juni[[#This Row],[Beginn]]-Juni[[#This Row],[Pause]]-Juni[[#This Row],[Berechnungshilfe1]])</f>
        <v>#REF!</v>
      </c>
    </row>
    <row r="11" spans="1:15" ht="12.95" customHeight="1" x14ac:dyDescent="0.2">
      <c r="A11" s="53">
        <f t="shared" si="1"/>
        <v>43619</v>
      </c>
      <c r="B11" s="28">
        <v>0</v>
      </c>
      <c r="C11" s="28">
        <v>0</v>
      </c>
      <c r="D11" s="47">
        <f t="shared" si="0"/>
        <v>0</v>
      </c>
      <c r="E11" s="31">
        <f>Juni[[#This Row],[Ende]]-Juni[[#This Row],[Beginn]]-Juni[[#This Row],[Pause]]</f>
        <v>0</v>
      </c>
      <c r="F11" s="33">
        <f>$F$6+SUM($E$8:Juni[[#This Row],[Arbeitszeit]])</f>
        <v>-8.3333333333333339</v>
      </c>
      <c r="G11" s="32"/>
      <c r="H11" s="35" t="e">
        <f>IF(ISNUMBER(MATCH(Juni[[#This Row],[Bemerkung]],Setup!$X$73:$X$86,0)),0,VLOOKUP(WEEKDAY(A11,2),Wochenzeiten[],3,0))</f>
        <v>#REF!</v>
      </c>
      <c r="I11" s="35" t="e">
        <f>IF(ISNUMBER(LOOKUP(Juni[[#This Row],[Bemerkung]],Setup!$X$71:$X75)),0,Juni[[#This Row],[Ende]]-Juni[[#This Row],[Beginn]]-Juni[[#This Row],[Pause]]-Juni[[#This Row],[Berechnungshilfe1]])</f>
        <v>#REF!</v>
      </c>
    </row>
    <row r="12" spans="1:15" ht="12.95" customHeight="1" x14ac:dyDescent="0.2">
      <c r="A12" s="53">
        <f t="shared" si="1"/>
        <v>43620</v>
      </c>
      <c r="B12" s="28">
        <v>0</v>
      </c>
      <c r="C12" s="28">
        <v>0</v>
      </c>
      <c r="D12" s="47">
        <f t="shared" si="0"/>
        <v>0</v>
      </c>
      <c r="E12" s="31">
        <f>Juni[[#This Row],[Ende]]-Juni[[#This Row],[Beginn]]-Juni[[#This Row],[Pause]]</f>
        <v>0</v>
      </c>
      <c r="F12" s="33">
        <f>$F$6+SUM($E$8:Juni[[#This Row],[Arbeitszeit]])</f>
        <v>-8.3333333333333339</v>
      </c>
      <c r="G12" s="32"/>
      <c r="H12" s="35" t="e">
        <f>IF(ISNUMBER(MATCH(Juni[[#This Row],[Bemerkung]],Setup!$X$73:$X$86,0)),0,VLOOKUP(WEEKDAY(A12,2),Wochenzeiten[],3,0))</f>
        <v>#REF!</v>
      </c>
      <c r="I12" s="35" t="e">
        <f>IF(ISNUMBER(LOOKUP(Juni[[#This Row],[Bemerkung]],Setup!$X$71:$X76)),0,Juni[[#This Row],[Ende]]-Juni[[#This Row],[Beginn]]-Juni[[#This Row],[Pause]]-Juni[[#This Row],[Berechnungshilfe1]])</f>
        <v>#REF!</v>
      </c>
    </row>
    <row r="13" spans="1:15" ht="12.95" customHeight="1" x14ac:dyDescent="0.2">
      <c r="A13" s="53">
        <f t="shared" si="1"/>
        <v>43621</v>
      </c>
      <c r="B13" s="28">
        <v>0</v>
      </c>
      <c r="C13" s="28">
        <v>0</v>
      </c>
      <c r="D13" s="47">
        <f t="shared" si="0"/>
        <v>0</v>
      </c>
      <c r="E13" s="31">
        <f>Juni[[#This Row],[Ende]]-Juni[[#This Row],[Beginn]]-Juni[[#This Row],[Pause]]</f>
        <v>0</v>
      </c>
      <c r="F13" s="33">
        <f>$F$6+SUM($E$8:Juni[[#This Row],[Arbeitszeit]])</f>
        <v>-8.3333333333333339</v>
      </c>
      <c r="G13" s="34"/>
      <c r="H13" s="35" t="e">
        <f>IF(ISNUMBER(MATCH(Juni[[#This Row],[Bemerkung]],Setup!$X$73:$X$86,0)),0,VLOOKUP(WEEKDAY(A13,2),Wochenzeiten[],3,0))</f>
        <v>#REF!</v>
      </c>
      <c r="I13" s="35" t="e">
        <f>IF(ISNUMBER(LOOKUP(Juni[[#This Row],[Bemerkung]],Setup!$X$71:$X77)),0,Juni[[#This Row],[Ende]]-Juni[[#This Row],[Beginn]]-Juni[[#This Row],[Pause]]-Juni[[#This Row],[Berechnungshilfe1]])</f>
        <v>#REF!</v>
      </c>
    </row>
    <row r="14" spans="1:15" ht="12.95" customHeight="1" x14ac:dyDescent="0.2">
      <c r="A14" s="53">
        <f t="shared" si="1"/>
        <v>43622</v>
      </c>
      <c r="B14" s="28">
        <v>0</v>
      </c>
      <c r="C14" s="28">
        <v>0</v>
      </c>
      <c r="D14" s="47">
        <f t="shared" si="0"/>
        <v>0</v>
      </c>
      <c r="E14" s="31">
        <f>Juni[[#This Row],[Ende]]-Juni[[#This Row],[Beginn]]-Juni[[#This Row],[Pause]]</f>
        <v>0</v>
      </c>
      <c r="F14" s="33">
        <f>$F$6+SUM($E$8:Juni[[#This Row],[Arbeitszeit]])</f>
        <v>-8.3333333333333339</v>
      </c>
      <c r="G14" s="32"/>
      <c r="H14" s="35" t="e">
        <f>IF(ISNUMBER(MATCH(Juni[[#This Row],[Bemerkung]],Setup!$X$73:$X$86,0)),0,VLOOKUP(WEEKDAY(A14,2),Wochenzeiten[],3,0))</f>
        <v>#REF!</v>
      </c>
      <c r="I14" s="35" t="e">
        <f>IF(ISNUMBER(LOOKUP(Juni[[#This Row],[Bemerkung]],Setup!$X$71:$X79)),0,Juni[[#This Row],[Ende]]-Juni[[#This Row],[Beginn]]-Juni[[#This Row],[Pause]]-Juni[[#This Row],[Berechnungshilfe1]])</f>
        <v>#REF!</v>
      </c>
      <c r="K14" s="19">
        <f>WEEKDAY(A2,2)</f>
        <v>5</v>
      </c>
    </row>
    <row r="15" spans="1:15" ht="12.95" customHeight="1" x14ac:dyDescent="0.2">
      <c r="A15" s="53">
        <f t="shared" si="1"/>
        <v>43623</v>
      </c>
      <c r="B15" s="28">
        <v>0</v>
      </c>
      <c r="C15" s="28">
        <v>0</v>
      </c>
      <c r="D15" s="47">
        <f t="shared" si="0"/>
        <v>0</v>
      </c>
      <c r="E15" s="31">
        <f>Juni[[#This Row],[Ende]]-Juni[[#This Row],[Beginn]]-Juni[[#This Row],[Pause]]</f>
        <v>0</v>
      </c>
      <c r="F15" s="33">
        <f>$F$6+SUM($E$8:Juni[[#This Row],[Arbeitszeit]])</f>
        <v>-8.3333333333333339</v>
      </c>
      <c r="G15" s="32"/>
      <c r="H15" s="35" t="e">
        <f>IF(ISNUMBER(MATCH(Juni[[#This Row],[Bemerkung]],Setup!$X$73:$X$86,0)),0,VLOOKUP(WEEKDAY(A15,2),Wochenzeiten[],3,0))</f>
        <v>#REF!</v>
      </c>
      <c r="I15" s="35" t="e">
        <f>IF(ISNUMBER(LOOKUP(Juni[[#This Row],[Bemerkung]],Setup!$X$71:$X80)),0,Juni[[#This Row],[Ende]]-Juni[[#This Row],[Beginn]]-Juni[[#This Row],[Pause]]-Juni[[#This Row],[Berechnungshilfe1]])</f>
        <v>#REF!</v>
      </c>
    </row>
    <row r="16" spans="1:15" ht="12.95" customHeight="1" x14ac:dyDescent="0.2">
      <c r="A16" s="53">
        <f t="shared" si="1"/>
        <v>43624</v>
      </c>
      <c r="B16" s="28">
        <v>0</v>
      </c>
      <c r="C16" s="28">
        <v>0</v>
      </c>
      <c r="D16" s="47">
        <f t="shared" si="0"/>
        <v>0</v>
      </c>
      <c r="E16" s="31">
        <f>Juni[[#This Row],[Ende]]-Juni[[#This Row],[Beginn]]-Juni[[#This Row],[Pause]]</f>
        <v>0</v>
      </c>
      <c r="F16" s="33">
        <f>$F$6+SUM($E$8:Juni[[#This Row],[Arbeitszeit]])</f>
        <v>-8.3333333333333339</v>
      </c>
      <c r="G16" s="32"/>
      <c r="H16" s="35" t="e">
        <f>IF(ISNUMBER(MATCH(Juni[[#This Row],[Bemerkung]],Setup!$X$73:$X$86,0)),0,VLOOKUP(WEEKDAY(A16,2),Wochenzeiten[],3,0))</f>
        <v>#REF!</v>
      </c>
      <c r="I16" s="35" t="e">
        <f>IF(ISNUMBER(LOOKUP(Juni[[#This Row],[Bemerkung]],Setup!$X$71:$X81)),0,Juni[[#This Row],[Ende]]-Juni[[#This Row],[Beginn]]-Juni[[#This Row],[Pause]]-Juni[[#This Row],[Berechnungshilfe1]])</f>
        <v>#REF!</v>
      </c>
    </row>
    <row r="17" spans="1:9" ht="12.95" customHeight="1" x14ac:dyDescent="0.2">
      <c r="A17" s="53">
        <f t="shared" si="1"/>
        <v>43625</v>
      </c>
      <c r="B17" s="28">
        <v>0</v>
      </c>
      <c r="C17" s="28">
        <v>0</v>
      </c>
      <c r="D17" s="47">
        <f t="shared" si="0"/>
        <v>0</v>
      </c>
      <c r="E17" s="31">
        <f>Juni[[#This Row],[Ende]]-Juni[[#This Row],[Beginn]]-Juni[[#This Row],[Pause]]</f>
        <v>0</v>
      </c>
      <c r="F17" s="33">
        <f>$F$6+SUM($E$8:Juni[[#This Row],[Arbeitszeit]])</f>
        <v>-8.3333333333333339</v>
      </c>
      <c r="G17" s="32"/>
      <c r="H17" s="35" t="e">
        <f>IF(ISNUMBER(MATCH(Juni[[#This Row],[Bemerkung]],Setup!$X$73:$X$86,0)),0,VLOOKUP(WEEKDAY(A17,2),Wochenzeiten[],3,0))</f>
        <v>#REF!</v>
      </c>
      <c r="I17" s="35" t="e">
        <f>IF(ISNUMBER(LOOKUP(Juni[[#This Row],[Bemerkung]],Setup!$X$71:$X82)),0,Juni[[#This Row],[Ende]]-Juni[[#This Row],[Beginn]]-Juni[[#This Row],[Pause]]-Juni[[#This Row],[Berechnungshilfe1]])</f>
        <v>#REF!</v>
      </c>
    </row>
    <row r="18" spans="1:9" ht="12.95" customHeight="1" x14ac:dyDescent="0.2">
      <c r="A18" s="53">
        <f t="shared" si="1"/>
        <v>43626</v>
      </c>
      <c r="B18" s="28">
        <v>0</v>
      </c>
      <c r="C18" s="28">
        <v>0</v>
      </c>
      <c r="D18" s="47">
        <f t="shared" si="0"/>
        <v>0</v>
      </c>
      <c r="E18" s="31">
        <f>Juni[[#This Row],[Ende]]-Juni[[#This Row],[Beginn]]-Juni[[#This Row],[Pause]]</f>
        <v>0</v>
      </c>
      <c r="F18" s="33">
        <f>$F$6+SUM($E$8:Juni[[#This Row],[Arbeitszeit]])</f>
        <v>-8.3333333333333339</v>
      </c>
      <c r="G18" s="32"/>
      <c r="H18" s="35" t="e">
        <f>IF(ISNUMBER(MATCH(Juni[[#This Row],[Bemerkung]],Setup!$X$73:$X$86,0)),0,VLOOKUP(WEEKDAY(A18,2),Wochenzeiten[],3,0))</f>
        <v>#REF!</v>
      </c>
      <c r="I18" s="35" t="e">
        <f>IF(ISNUMBER(LOOKUP(Juni[[#This Row],[Bemerkung]],Setup!$X$71:$X83)),0,Juni[[#This Row],[Ende]]-Juni[[#This Row],[Beginn]]-Juni[[#This Row],[Pause]]-Juni[[#This Row],[Berechnungshilfe1]])</f>
        <v>#REF!</v>
      </c>
    </row>
    <row r="19" spans="1:9" ht="12.95" customHeight="1" x14ac:dyDescent="0.2">
      <c r="A19" s="53">
        <f t="shared" si="1"/>
        <v>43627</v>
      </c>
      <c r="B19" s="28">
        <v>0</v>
      </c>
      <c r="C19" s="28">
        <v>0</v>
      </c>
      <c r="D19" s="47">
        <f t="shared" si="0"/>
        <v>0</v>
      </c>
      <c r="E19" s="31">
        <f>Juni[[#This Row],[Ende]]-Juni[[#This Row],[Beginn]]-Juni[[#This Row],[Pause]]</f>
        <v>0</v>
      </c>
      <c r="F19" s="33">
        <f>$F$6+SUM($E$8:Juni[[#This Row],[Arbeitszeit]])</f>
        <v>-8.3333333333333339</v>
      </c>
      <c r="G19" s="32"/>
      <c r="H19" s="35" t="e">
        <f>IF(ISNUMBER(MATCH(Juni[[#This Row],[Bemerkung]],Setup!$X$73:$X$86,0)),0,VLOOKUP(WEEKDAY(A19,2),Wochenzeiten[],3,0))</f>
        <v>#REF!</v>
      </c>
      <c r="I19" s="35" t="e">
        <f>IF(ISNUMBER(LOOKUP(Juni[[#This Row],[Bemerkung]],Setup!$X$71:$X84)),0,Juni[[#This Row],[Ende]]-Juni[[#This Row],[Beginn]]-Juni[[#This Row],[Pause]]-Juni[[#This Row],[Berechnungshilfe1]])</f>
        <v>#REF!</v>
      </c>
    </row>
    <row r="20" spans="1:9" ht="12.95" customHeight="1" x14ac:dyDescent="0.2">
      <c r="A20" s="53">
        <f t="shared" si="1"/>
        <v>43628</v>
      </c>
      <c r="B20" s="28">
        <v>0</v>
      </c>
      <c r="C20" s="28">
        <v>0</v>
      </c>
      <c r="D20" s="47">
        <f t="shared" si="0"/>
        <v>0</v>
      </c>
      <c r="E20" s="31">
        <f>Juni[[#This Row],[Ende]]-Juni[[#This Row],[Beginn]]-Juni[[#This Row],[Pause]]</f>
        <v>0</v>
      </c>
      <c r="F20" s="33">
        <f>$F$6+SUM($E$8:Juni[[#This Row],[Arbeitszeit]])</f>
        <v>-8.3333333333333339</v>
      </c>
      <c r="G20" s="32"/>
      <c r="H20" s="35" t="e">
        <f>IF(ISNUMBER(MATCH(Juni[[#This Row],[Bemerkung]],Setup!$X$73:$X$86,0)),0,VLOOKUP(WEEKDAY(A20,2),Wochenzeiten[],3,0))</f>
        <v>#REF!</v>
      </c>
      <c r="I20" s="35" t="e">
        <f>IF(ISNUMBER(LOOKUP(Juni[[#This Row],[Bemerkung]],Setup!$X$71:$X85)),0,Juni[[#This Row],[Ende]]-Juni[[#This Row],[Beginn]]-Juni[[#This Row],[Pause]]-Juni[[#This Row],[Berechnungshilfe1]])</f>
        <v>#REF!</v>
      </c>
    </row>
    <row r="21" spans="1:9" ht="12.95" customHeight="1" x14ac:dyDescent="0.2">
      <c r="A21" s="53">
        <f t="shared" si="1"/>
        <v>43629</v>
      </c>
      <c r="B21" s="28">
        <v>0</v>
      </c>
      <c r="C21" s="28">
        <v>0</v>
      </c>
      <c r="D21" s="47">
        <f t="shared" si="0"/>
        <v>0</v>
      </c>
      <c r="E21" s="31">
        <f>Juni[[#This Row],[Ende]]-Juni[[#This Row],[Beginn]]-Juni[[#This Row],[Pause]]</f>
        <v>0</v>
      </c>
      <c r="F21" s="33">
        <f>$F$6+SUM($E$8:Juni[[#This Row],[Arbeitszeit]])</f>
        <v>-8.3333333333333339</v>
      </c>
      <c r="G21" s="32"/>
      <c r="H21" s="35" t="e">
        <f>IF(ISNUMBER(MATCH(Juni[[#This Row],[Bemerkung]],Setup!$X$73:$X$86,0)),0,VLOOKUP(WEEKDAY(A21,2),Wochenzeiten[],3,0))</f>
        <v>#REF!</v>
      </c>
      <c r="I21" s="35" t="e">
        <f>IF(ISNUMBER(LOOKUP(Juni[[#This Row],[Bemerkung]],Setup!$X$71:$X86)),0,Juni[[#This Row],[Ende]]-Juni[[#This Row],[Beginn]]-Juni[[#This Row],[Pause]]-Juni[[#This Row],[Berechnungshilfe1]])</f>
        <v>#REF!</v>
      </c>
    </row>
    <row r="22" spans="1:9" ht="12.95" customHeight="1" x14ac:dyDescent="0.2">
      <c r="A22" s="53">
        <f t="shared" si="1"/>
        <v>43630</v>
      </c>
      <c r="B22" s="28">
        <v>0</v>
      </c>
      <c r="C22" s="28">
        <v>0</v>
      </c>
      <c r="D22" s="47">
        <f t="shared" si="0"/>
        <v>0</v>
      </c>
      <c r="E22" s="31">
        <f>Juni[[#This Row],[Ende]]-Juni[[#This Row],[Beginn]]-Juni[[#This Row],[Pause]]</f>
        <v>0</v>
      </c>
      <c r="F22" s="33">
        <f>$F$6+SUM($E$8:Juni[[#This Row],[Arbeitszeit]])</f>
        <v>-8.3333333333333339</v>
      </c>
      <c r="G22" s="32"/>
      <c r="H22" s="35" t="e">
        <f>IF(ISNUMBER(MATCH(Juni[[#This Row],[Bemerkung]],Setup!$X$73:$X$86,0)),0,VLOOKUP(WEEKDAY(A22,2),Wochenzeiten[],3,0))</f>
        <v>#REF!</v>
      </c>
      <c r="I22" s="35" t="e">
        <f>IF(ISNUMBER(LOOKUP(Juni[[#This Row],[Bemerkung]],Setup!$X$71:$X87)),0,Juni[[#This Row],[Ende]]-Juni[[#This Row],[Beginn]]-Juni[[#This Row],[Pause]]-Juni[[#This Row],[Berechnungshilfe1]])</f>
        <v>#REF!</v>
      </c>
    </row>
    <row r="23" spans="1:9" ht="12.95" customHeight="1" x14ac:dyDescent="0.2">
      <c r="A23" s="53">
        <f t="shared" si="1"/>
        <v>43631</v>
      </c>
      <c r="B23" s="28">
        <v>0</v>
      </c>
      <c r="C23" s="28">
        <v>0</v>
      </c>
      <c r="D23" s="47">
        <f t="shared" si="0"/>
        <v>0</v>
      </c>
      <c r="E23" s="31">
        <f>Juni[[#This Row],[Ende]]-Juni[[#This Row],[Beginn]]-Juni[[#This Row],[Pause]]</f>
        <v>0</v>
      </c>
      <c r="F23" s="33">
        <f>$F$6+SUM($E$8:Juni[[#This Row],[Arbeitszeit]])</f>
        <v>-8.3333333333333339</v>
      </c>
      <c r="G23" s="32"/>
      <c r="H23" s="35" t="e">
        <f>IF(ISNUMBER(MATCH(Juni[[#This Row],[Bemerkung]],Setup!$X$73:$X$86,0)),0,VLOOKUP(WEEKDAY(A23,2),Wochenzeiten[],3,0))</f>
        <v>#REF!</v>
      </c>
      <c r="I23" s="35" t="e">
        <f>IF(ISNUMBER(LOOKUP(Juni[[#This Row],[Bemerkung]],Setup!$X$71:$X87)),0,Juni[[#This Row],[Ende]]-Juni[[#This Row],[Beginn]]-Juni[[#This Row],[Pause]]-Juni[[#This Row],[Berechnungshilfe1]])</f>
        <v>#REF!</v>
      </c>
    </row>
    <row r="24" spans="1:9" ht="12.95" customHeight="1" x14ac:dyDescent="0.2">
      <c r="A24" s="53">
        <f t="shared" si="1"/>
        <v>43632</v>
      </c>
      <c r="B24" s="28">
        <v>0</v>
      </c>
      <c r="C24" s="28">
        <v>0</v>
      </c>
      <c r="D24" s="47">
        <f t="shared" si="0"/>
        <v>0</v>
      </c>
      <c r="E24" s="31">
        <f>Juni[[#This Row],[Ende]]-Juni[[#This Row],[Beginn]]-Juni[[#This Row],[Pause]]</f>
        <v>0</v>
      </c>
      <c r="F24" s="33">
        <f>$F$6+SUM($E$8:Juni[[#This Row],[Arbeitszeit]])</f>
        <v>-8.3333333333333339</v>
      </c>
      <c r="G24" s="32"/>
      <c r="H24" s="35" t="e">
        <f>IF(ISNUMBER(MATCH(Juni[[#This Row],[Bemerkung]],Setup!$X$73:$X$86,0)),0,VLOOKUP(WEEKDAY(A24,2),Wochenzeiten[],3,0))</f>
        <v>#REF!</v>
      </c>
      <c r="I24" s="35" t="e">
        <f>IF(ISNUMBER(LOOKUP(Juni[[#This Row],[Bemerkung]],Setup!$X$71:$X88)),0,Juni[[#This Row],[Ende]]-Juni[[#This Row],[Beginn]]-Juni[[#This Row],[Pause]]-Juni[[#This Row],[Berechnungshilfe1]])</f>
        <v>#REF!</v>
      </c>
    </row>
    <row r="25" spans="1:9" ht="12.95" customHeight="1" x14ac:dyDescent="0.2">
      <c r="A25" s="53">
        <f t="shared" si="1"/>
        <v>43633</v>
      </c>
      <c r="B25" s="28">
        <v>0</v>
      </c>
      <c r="C25" s="28">
        <v>0</v>
      </c>
      <c r="D25" s="47">
        <f t="shared" si="0"/>
        <v>0</v>
      </c>
      <c r="E25" s="31">
        <f>Juni[[#This Row],[Ende]]-Juni[[#This Row],[Beginn]]-Juni[[#This Row],[Pause]]</f>
        <v>0</v>
      </c>
      <c r="F25" s="33">
        <f>$F$6+SUM($E$8:Juni[[#This Row],[Arbeitszeit]])</f>
        <v>-8.3333333333333339</v>
      </c>
      <c r="G25" s="32"/>
      <c r="H25" s="35" t="e">
        <f>IF(ISNUMBER(MATCH(Juni[[#This Row],[Bemerkung]],Setup!$X$73:$X$86,0)),0,VLOOKUP(WEEKDAY(A25,2),Wochenzeiten[],3,0))</f>
        <v>#REF!</v>
      </c>
      <c r="I25" s="35" t="e">
        <f>IF(ISNUMBER(LOOKUP(Juni[[#This Row],[Bemerkung]],Setup!$X$71:$X89)),0,Juni[[#This Row],[Ende]]-Juni[[#This Row],[Beginn]]-Juni[[#This Row],[Pause]]-Juni[[#This Row],[Berechnungshilfe1]])</f>
        <v>#REF!</v>
      </c>
    </row>
    <row r="26" spans="1:9" ht="12.95" customHeight="1" x14ac:dyDescent="0.2">
      <c r="A26" s="53">
        <f t="shared" si="1"/>
        <v>43634</v>
      </c>
      <c r="B26" s="28">
        <v>0</v>
      </c>
      <c r="C26" s="28">
        <v>0</v>
      </c>
      <c r="D26" s="47">
        <f t="shared" si="0"/>
        <v>0</v>
      </c>
      <c r="E26" s="31">
        <f>Juni[[#This Row],[Ende]]-Juni[[#This Row],[Beginn]]-Juni[[#This Row],[Pause]]</f>
        <v>0</v>
      </c>
      <c r="F26" s="33">
        <f>$F$6+SUM($E$8:Juni[[#This Row],[Arbeitszeit]])</f>
        <v>-8.3333333333333339</v>
      </c>
      <c r="G26" s="32"/>
      <c r="H26" s="35" t="e">
        <f>IF(ISNUMBER(MATCH(Juni[[#This Row],[Bemerkung]],Setup!$X$73:$X$86,0)),0,VLOOKUP(WEEKDAY(A26,2),Wochenzeiten[],3,0))</f>
        <v>#REF!</v>
      </c>
      <c r="I26" s="35" t="e">
        <f>IF(ISNUMBER(LOOKUP(Juni[[#This Row],[Bemerkung]],Setup!$X$71:$X90)),0,Juni[[#This Row],[Ende]]-Juni[[#This Row],[Beginn]]-Juni[[#This Row],[Pause]]-Juni[[#This Row],[Berechnungshilfe1]])</f>
        <v>#REF!</v>
      </c>
    </row>
    <row r="27" spans="1:9" ht="12.95" customHeight="1" x14ac:dyDescent="0.2">
      <c r="A27" s="53">
        <f t="shared" si="1"/>
        <v>43635</v>
      </c>
      <c r="B27" s="28">
        <v>0</v>
      </c>
      <c r="C27" s="28">
        <v>0</v>
      </c>
      <c r="D27" s="47">
        <f t="shared" si="0"/>
        <v>0</v>
      </c>
      <c r="E27" s="31">
        <f>Juni[[#This Row],[Ende]]-Juni[[#This Row],[Beginn]]-Juni[[#This Row],[Pause]]</f>
        <v>0</v>
      </c>
      <c r="F27" s="33">
        <f>$F$6+SUM($E$8:Juni[[#This Row],[Arbeitszeit]])</f>
        <v>-8.3333333333333339</v>
      </c>
      <c r="G27" s="32"/>
      <c r="H27" s="35" t="e">
        <f>IF(ISNUMBER(MATCH(Juni[[#This Row],[Bemerkung]],Setup!$X$73:$X$86,0)),0,VLOOKUP(WEEKDAY(A27,2),Wochenzeiten[],3,0))</f>
        <v>#REF!</v>
      </c>
      <c r="I27" s="35" t="e">
        <f>IF(ISNUMBER(LOOKUP(Juni[[#This Row],[Bemerkung]],Setup!$X$71:$X91)),0,Juni[[#This Row],[Ende]]-Juni[[#This Row],[Beginn]]-Juni[[#This Row],[Pause]]-Juni[[#This Row],[Berechnungshilfe1]])</f>
        <v>#REF!</v>
      </c>
    </row>
    <row r="28" spans="1:9" ht="12.95" customHeight="1" x14ac:dyDescent="0.2">
      <c r="A28" s="53">
        <f t="shared" si="1"/>
        <v>43636</v>
      </c>
      <c r="B28" s="28">
        <v>0</v>
      </c>
      <c r="C28" s="28">
        <v>0</v>
      </c>
      <c r="D28" s="47">
        <f t="shared" si="0"/>
        <v>0</v>
      </c>
      <c r="E28" s="31">
        <f>Juni[[#This Row],[Ende]]-Juni[[#This Row],[Beginn]]-Juni[[#This Row],[Pause]]</f>
        <v>0</v>
      </c>
      <c r="F28" s="33">
        <f>$F$6+SUM($E$8:Juni[[#This Row],[Arbeitszeit]])</f>
        <v>-8.3333333333333339</v>
      </c>
      <c r="G28" s="32"/>
      <c r="H28" s="35" t="e">
        <f>IF(ISNUMBER(MATCH(Juni[[#This Row],[Bemerkung]],Setup!$X$73:$X$86,0)),0,VLOOKUP(WEEKDAY(A28,2),Wochenzeiten[],3,0))</f>
        <v>#REF!</v>
      </c>
      <c r="I28" s="35" t="e">
        <f>IF(ISNUMBER(LOOKUP(Juni[[#This Row],[Bemerkung]],Setup!$X$71:$X92)),0,Juni[[#This Row],[Ende]]-Juni[[#This Row],[Beginn]]-Juni[[#This Row],[Pause]]-Juni[[#This Row],[Berechnungshilfe1]])</f>
        <v>#REF!</v>
      </c>
    </row>
    <row r="29" spans="1:9" ht="12.95" customHeight="1" x14ac:dyDescent="0.2">
      <c r="A29" s="53">
        <f t="shared" si="1"/>
        <v>43637</v>
      </c>
      <c r="B29" s="28">
        <v>0</v>
      </c>
      <c r="C29" s="28">
        <v>0</v>
      </c>
      <c r="D29" s="47">
        <f t="shared" si="0"/>
        <v>0</v>
      </c>
      <c r="E29" s="31">
        <f>Juni[[#This Row],[Ende]]-Juni[[#This Row],[Beginn]]-Juni[[#This Row],[Pause]]</f>
        <v>0</v>
      </c>
      <c r="F29" s="33">
        <f>$F$6+SUM($E$8:Juni[[#This Row],[Arbeitszeit]])</f>
        <v>-8.3333333333333339</v>
      </c>
      <c r="G29" s="32"/>
      <c r="H29" s="35" t="e">
        <f>IF(ISNUMBER(MATCH(Juni[[#This Row],[Bemerkung]],Setup!$X$73:$X$86,0)),0,VLOOKUP(WEEKDAY(A29,2),Wochenzeiten[],3,0))</f>
        <v>#REF!</v>
      </c>
      <c r="I29" s="35" t="e">
        <f>IF(ISNUMBER(LOOKUP(Juni[[#This Row],[Bemerkung]],Setup!$X$71:$X93)),0,Juni[[#This Row],[Ende]]-Juni[[#This Row],[Beginn]]-Juni[[#This Row],[Pause]]-Juni[[#This Row],[Berechnungshilfe1]])</f>
        <v>#REF!</v>
      </c>
    </row>
    <row r="30" spans="1:9" ht="12.95" customHeight="1" x14ac:dyDescent="0.2">
      <c r="A30" s="53">
        <f t="shared" si="1"/>
        <v>43638</v>
      </c>
      <c r="B30" s="28">
        <v>0</v>
      </c>
      <c r="C30" s="28">
        <v>0</v>
      </c>
      <c r="D30" s="47">
        <f t="shared" si="0"/>
        <v>0</v>
      </c>
      <c r="E30" s="31">
        <f>Juni[[#This Row],[Ende]]-Juni[[#This Row],[Beginn]]-Juni[[#This Row],[Pause]]</f>
        <v>0</v>
      </c>
      <c r="F30" s="33">
        <f>$F$6+SUM($E$8:Juni[[#This Row],[Arbeitszeit]])</f>
        <v>-8.3333333333333339</v>
      </c>
      <c r="G30" s="32"/>
      <c r="H30" s="35" t="e">
        <f>IF(ISNUMBER(MATCH(Juni[[#This Row],[Bemerkung]],Setup!$X$73:$X$86,0)),0,VLOOKUP(WEEKDAY(A30,2),Wochenzeiten[],3,0))</f>
        <v>#REF!</v>
      </c>
      <c r="I30" s="35" t="e">
        <f>IF(ISNUMBER(LOOKUP(Juni[[#This Row],[Bemerkung]],Setup!$X$71:$X94)),0,Juni[[#This Row],[Ende]]-Juni[[#This Row],[Beginn]]-Juni[[#This Row],[Pause]]-Juni[[#This Row],[Berechnungshilfe1]])</f>
        <v>#REF!</v>
      </c>
    </row>
    <row r="31" spans="1:9" ht="12.95" customHeight="1" x14ac:dyDescent="0.2">
      <c r="A31" s="53">
        <f t="shared" si="1"/>
        <v>43639</v>
      </c>
      <c r="B31" s="28">
        <v>0</v>
      </c>
      <c r="C31" s="28">
        <v>0</v>
      </c>
      <c r="D31" s="47">
        <f t="shared" si="0"/>
        <v>0</v>
      </c>
      <c r="E31" s="31">
        <f>Juni[[#This Row],[Ende]]-Juni[[#This Row],[Beginn]]-Juni[[#This Row],[Pause]]</f>
        <v>0</v>
      </c>
      <c r="F31" s="33">
        <f>$F$6+SUM($E$8:Juni[[#This Row],[Arbeitszeit]])</f>
        <v>-8.3333333333333339</v>
      </c>
      <c r="G31" s="32"/>
      <c r="H31" s="35" t="e">
        <f>IF(ISNUMBER(MATCH(Juni[[#This Row],[Bemerkung]],Setup!$X$73:$X$86,0)),0,VLOOKUP(WEEKDAY(A31,2),Wochenzeiten[],3,0))</f>
        <v>#REF!</v>
      </c>
      <c r="I31" s="35" t="e">
        <f>IF(ISNUMBER(LOOKUP(Juni[[#This Row],[Bemerkung]],Setup!$X$71:$X95)),0,Juni[[#This Row],[Ende]]-Juni[[#This Row],[Beginn]]-Juni[[#This Row],[Pause]]-Juni[[#This Row],[Berechnungshilfe1]])</f>
        <v>#REF!</v>
      </c>
    </row>
    <row r="32" spans="1:9" ht="12.95" customHeight="1" x14ac:dyDescent="0.2">
      <c r="A32" s="53">
        <f t="shared" si="1"/>
        <v>43640</v>
      </c>
      <c r="B32" s="28">
        <v>0</v>
      </c>
      <c r="C32" s="28">
        <v>0</v>
      </c>
      <c r="D32" s="47">
        <f t="shared" si="0"/>
        <v>0</v>
      </c>
      <c r="E32" s="31">
        <f>Juni[[#This Row],[Ende]]-Juni[[#This Row],[Beginn]]-Juni[[#This Row],[Pause]]</f>
        <v>0</v>
      </c>
      <c r="F32" s="33">
        <f>$F$6+SUM($E$8:Juni[[#This Row],[Arbeitszeit]])</f>
        <v>-8.3333333333333339</v>
      </c>
      <c r="G32" s="32"/>
      <c r="H32" s="35" t="e">
        <f>IF(ISNUMBER(MATCH(Juni[[#This Row],[Bemerkung]],Setup!$X$73:$X$86,0)),0,VLOOKUP(WEEKDAY(A32,2),Wochenzeiten[],3,0))</f>
        <v>#REF!</v>
      </c>
      <c r="I32" s="35" t="e">
        <f>IF(ISNUMBER(LOOKUP(Juni[[#This Row],[Bemerkung]],Setup!$X$71:$X96)),0,Juni[[#This Row],[Ende]]-Juni[[#This Row],[Beginn]]-Juni[[#This Row],[Pause]]-Juni[[#This Row],[Berechnungshilfe1]])</f>
        <v>#REF!</v>
      </c>
    </row>
    <row r="33" spans="1:9" ht="12.95" customHeight="1" x14ac:dyDescent="0.2">
      <c r="A33" s="53">
        <f t="shared" si="1"/>
        <v>43641</v>
      </c>
      <c r="B33" s="28">
        <v>0</v>
      </c>
      <c r="C33" s="28">
        <v>0</v>
      </c>
      <c r="D33" s="47">
        <f t="shared" si="0"/>
        <v>0</v>
      </c>
      <c r="E33" s="31">
        <f>Juni[[#This Row],[Ende]]-Juni[[#This Row],[Beginn]]-Juni[[#This Row],[Pause]]</f>
        <v>0</v>
      </c>
      <c r="F33" s="33">
        <f>$F$6+SUM($E$8:Juni[[#This Row],[Arbeitszeit]])</f>
        <v>-8.3333333333333339</v>
      </c>
      <c r="G33" s="32"/>
      <c r="H33" s="35" t="e">
        <f>IF(ISNUMBER(MATCH(Juni[[#This Row],[Bemerkung]],Setup!$X$73:$X$86,0)),0,VLOOKUP(WEEKDAY(A33,2),Wochenzeiten[],3,0))</f>
        <v>#REF!</v>
      </c>
      <c r="I33" s="35" t="e">
        <f>IF(ISNUMBER(LOOKUP(Juni[[#This Row],[Bemerkung]],Setup!$X$71:$X97)),0,Juni[[#This Row],[Ende]]-Juni[[#This Row],[Beginn]]-Juni[[#This Row],[Pause]]-Juni[[#This Row],[Berechnungshilfe1]])</f>
        <v>#REF!</v>
      </c>
    </row>
    <row r="34" spans="1:9" ht="12.95" customHeight="1" x14ac:dyDescent="0.2">
      <c r="A34" s="53">
        <f t="shared" si="1"/>
        <v>43642</v>
      </c>
      <c r="B34" s="28">
        <v>0</v>
      </c>
      <c r="C34" s="28">
        <v>0</v>
      </c>
      <c r="D34" s="47">
        <f t="shared" si="0"/>
        <v>0</v>
      </c>
      <c r="E34" s="31">
        <f>Juni[[#This Row],[Ende]]-Juni[[#This Row],[Beginn]]-Juni[[#This Row],[Pause]]</f>
        <v>0</v>
      </c>
      <c r="F34" s="33">
        <f>$F$6+SUM($E$8:Juni[[#This Row],[Arbeitszeit]])</f>
        <v>-8.3333333333333339</v>
      </c>
      <c r="G34" s="32"/>
      <c r="H34" s="35" t="e">
        <f>IF(ISNUMBER(MATCH(Juni[[#This Row],[Bemerkung]],Setup!$X$73:$X$86,0)),0,VLOOKUP(WEEKDAY(A34,2),Wochenzeiten[],3,0))</f>
        <v>#REF!</v>
      </c>
      <c r="I34" s="35" t="e">
        <f>IF(ISNUMBER(LOOKUP(Juni[[#This Row],[Bemerkung]],Setup!$X$71:$X98)),0,Juni[[#This Row],[Ende]]-Juni[[#This Row],[Beginn]]-Juni[[#This Row],[Pause]]-Juni[[#This Row],[Berechnungshilfe1]])</f>
        <v>#REF!</v>
      </c>
    </row>
    <row r="35" spans="1:9" ht="12.75" customHeight="1" x14ac:dyDescent="0.2">
      <c r="A35" s="53">
        <f t="shared" si="1"/>
        <v>43643</v>
      </c>
      <c r="B35" s="28">
        <v>0</v>
      </c>
      <c r="C35" s="28">
        <v>0</v>
      </c>
      <c r="D35" s="47">
        <f t="shared" si="0"/>
        <v>0</v>
      </c>
      <c r="E35" s="31">
        <f>Juni[[#This Row],[Ende]]-Juni[[#This Row],[Beginn]]-Juni[[#This Row],[Pause]]</f>
        <v>0</v>
      </c>
      <c r="F35" s="33">
        <f>$F$6+SUM($E$8:Juni[[#This Row],[Arbeitszeit]])</f>
        <v>-8.3333333333333339</v>
      </c>
      <c r="G35" s="32"/>
      <c r="H35" s="35" t="e">
        <f>IF(ISNUMBER(MATCH(Juni[[#This Row],[Bemerkung]],Setup!$X$73:$X$86,0)),0,VLOOKUP(WEEKDAY(A35,2),Wochenzeiten[],3,0))</f>
        <v>#REF!</v>
      </c>
      <c r="I35" s="35" t="e">
        <f>IF(ISNUMBER(LOOKUP(Juni[[#This Row],[Bemerkung]],Setup!$X$71:$X99)),0,Juni[[#This Row],[Ende]]-Juni[[#This Row],[Beginn]]-Juni[[#This Row],[Pause]]-Juni[[#This Row],[Berechnungshilfe1]])</f>
        <v>#REF!</v>
      </c>
    </row>
    <row r="36" spans="1:9" ht="12.75" customHeight="1" x14ac:dyDescent="0.2">
      <c r="A36" s="53">
        <f t="shared" si="1"/>
        <v>43644</v>
      </c>
      <c r="B36" s="28">
        <v>0</v>
      </c>
      <c r="C36" s="28">
        <v>0</v>
      </c>
      <c r="D36" s="47">
        <f t="shared" si="0"/>
        <v>0</v>
      </c>
      <c r="E36" s="31">
        <f>Juni[[#This Row],[Ende]]-Juni[[#This Row],[Beginn]]-Juni[[#This Row],[Pause]]</f>
        <v>0</v>
      </c>
      <c r="F36" s="33">
        <f>$F$6+SUM($E$8:Juni[[#This Row],[Arbeitszeit]])</f>
        <v>-8.3333333333333339</v>
      </c>
      <c r="G36" s="32"/>
      <c r="H36" s="35" t="e">
        <f>IF(ISNUMBER(MATCH(Juni[[#This Row],[Bemerkung]],Setup!$X$73:$X$86,0)),0,VLOOKUP(WEEKDAY(A36,2),Wochenzeiten[],3,0))</f>
        <v>#REF!</v>
      </c>
      <c r="I36" s="35" t="e">
        <f>IF(ISNUMBER(LOOKUP(Juni[[#This Row],[Bemerkung]],Setup!$X$71:$X100)),0,Juni[[#This Row],[Ende]]-Juni[[#This Row],[Beginn]]-Juni[[#This Row],[Pause]]-Juni[[#This Row],[Berechnungshilfe1]])</f>
        <v>#REF!</v>
      </c>
    </row>
    <row r="37" spans="1:9" ht="12.75" customHeight="1" x14ac:dyDescent="0.2">
      <c r="A37" s="53">
        <f t="shared" si="1"/>
        <v>43645</v>
      </c>
      <c r="B37" s="28">
        <v>0</v>
      </c>
      <c r="C37" s="28">
        <v>0</v>
      </c>
      <c r="D37" s="47">
        <f t="shared" si="0"/>
        <v>0</v>
      </c>
      <c r="E37" s="31">
        <f>Juni[[#This Row],[Ende]]-Juni[[#This Row],[Beginn]]-Juni[[#This Row],[Pause]]</f>
        <v>0</v>
      </c>
      <c r="F37" s="33">
        <f>$F$6+SUM($E$8:Juni[[#This Row],[Arbeitszeit]])</f>
        <v>-8.3333333333333339</v>
      </c>
      <c r="G37" s="32"/>
      <c r="H37" s="35" t="e">
        <f>IF(ISNUMBER(MATCH(Juni[[#This Row],[Bemerkung]],Setup!$X$73:$X$86,0)),0,VLOOKUP(WEEKDAY(A37,2),Wochenzeiten[],3,0))</f>
        <v>#REF!</v>
      </c>
      <c r="I37" s="35" t="e">
        <f>IF(ISNUMBER(LOOKUP(Juni[[#This Row],[Bemerkung]],Setup!$X$71:$X101)),0,Juni[[#This Row],[Ende]]-Juni[[#This Row],[Beginn]]-Juni[[#This Row],[Pause]]-Juni[[#This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SUM(Juni[Arbeitszeit])+$F$6-E46</f>
        <v>-10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13" priority="4">
      <formula>WEEKDAY($A8,2)&gt;5</formula>
    </cfRule>
    <cfRule type="cellIs" dxfId="12" priority="7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DATE(Setup!C13,7,1)</f>
        <v>43646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Juni!F38</f>
        <v>-10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43646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Juli[[#This Row],[Ende]]-Juli[[#This Row],[Beginn]]-Juli[[#This Row],[Pause]]</f>
        <v>0</v>
      </c>
      <c r="F8" s="33">
        <f>$F$6+SUM($E$8:Juli[[#This Row],[Arbeitszeit]])</f>
        <v>-10</v>
      </c>
      <c r="G8" s="32"/>
      <c r="H8" s="35" t="e">
        <f>IF(ISNUMBER(MATCH(Juli[[#This Row],[Bemerkung]],Setup!$X$73:$X$86,0)),0,VLOOKUP(WEEKDAY(A8,2),Wochenzeiten[],3,0))</f>
        <v>#REF!</v>
      </c>
      <c r="I8" s="35" t="e">
        <f>IF(ISNUMBER(LOOKUP(Juli[[#This Row],[Bemerkung]],Setup!$X$71:$X72)),0,Juli[[#This Row],[Ende]]-Juli[[#This Row],[Beginn]]-Juli[[#This Row],[Pause]]-Juli[[#This Row],[Berechnungshilfe1]])</f>
        <v>#REF!</v>
      </c>
    </row>
    <row r="9" spans="1:15" ht="12.95" customHeight="1" x14ac:dyDescent="0.2">
      <c r="A9" s="53">
        <f t="shared" ref="A9:A38" si="1">A8+1</f>
        <v>43647</v>
      </c>
      <c r="B9" s="28">
        <v>0</v>
      </c>
      <c r="C9" s="28">
        <v>0</v>
      </c>
      <c r="D9" s="47">
        <f t="shared" si="0"/>
        <v>0</v>
      </c>
      <c r="E9" s="31">
        <f>Juli[[#This Row],[Ende]]-Juli[[#This Row],[Beginn]]-Juli[[#This Row],[Pause]]</f>
        <v>0</v>
      </c>
      <c r="F9" s="33">
        <f>$F$6+SUM($E$8:Juli[[#This Row],[Arbeitszeit]])</f>
        <v>-10</v>
      </c>
      <c r="G9" s="32"/>
      <c r="H9" s="35" t="e">
        <f>IF(ISNUMBER(MATCH(Juli[[#This Row],[Bemerkung]],Setup!$X$73:$X$86,0)),0,VLOOKUP(WEEKDAY(A9,2),Wochenzeiten[],3,0))</f>
        <v>#REF!</v>
      </c>
      <c r="I9" s="35" t="e">
        <f>IF(ISNUMBER(LOOKUP(Juli[[#This Row],[Bemerkung]],Setup!$X$71:$X73)),0,Juli[[#This Row],[Ende]]-Juli[[#This Row],[Beginn]]-Juli[[#This Row],[Pause]]-Juli[[#This Row],[Berechnungshilfe1]])</f>
        <v>#REF!</v>
      </c>
    </row>
    <row r="10" spans="1:15" ht="12.95" customHeight="1" x14ac:dyDescent="0.2">
      <c r="A10" s="53">
        <f t="shared" si="1"/>
        <v>43648</v>
      </c>
      <c r="B10" s="28">
        <v>0</v>
      </c>
      <c r="C10" s="28">
        <v>0</v>
      </c>
      <c r="D10" s="47">
        <f t="shared" si="0"/>
        <v>0</v>
      </c>
      <c r="E10" s="31">
        <f>Juli[[#This Row],[Ende]]-Juli[[#This Row],[Beginn]]-Juli[[#This Row],[Pause]]</f>
        <v>0</v>
      </c>
      <c r="F10" s="33">
        <f>$F$6+SUM($E$8:Juli[[#This Row],[Arbeitszeit]])</f>
        <v>-10</v>
      </c>
      <c r="G10" s="34"/>
      <c r="H10" s="35" t="e">
        <f>IF(ISNUMBER(MATCH(Juli[[#This Row],[Bemerkung]],Setup!$X$73:$X$86,0)),0,VLOOKUP(WEEKDAY(A10,2),Wochenzeiten[],3,0))</f>
        <v>#REF!</v>
      </c>
      <c r="I10" s="35" t="e">
        <f>IF(ISNUMBER(LOOKUP(Juli[[#This Row],[Bemerkung]],Setup!$X$71:$X74)),0,Juli[[#This Row],[Ende]]-Juli[[#This Row],[Beginn]]-Juli[[#This Row],[Pause]]-Juli[[#This Row],[Berechnungshilfe1]])</f>
        <v>#REF!</v>
      </c>
    </row>
    <row r="11" spans="1:15" ht="12.95" customHeight="1" x14ac:dyDescent="0.2">
      <c r="A11" s="53">
        <f t="shared" si="1"/>
        <v>43649</v>
      </c>
      <c r="B11" s="28">
        <v>0</v>
      </c>
      <c r="C11" s="28">
        <v>0</v>
      </c>
      <c r="D11" s="47">
        <f t="shared" si="0"/>
        <v>0</v>
      </c>
      <c r="E11" s="31">
        <f>Juli[[#This Row],[Ende]]-Juli[[#This Row],[Beginn]]-Juli[[#This Row],[Pause]]</f>
        <v>0</v>
      </c>
      <c r="F11" s="33">
        <f>$F$6+SUM($E$8:Juli[[#This Row],[Arbeitszeit]])</f>
        <v>-10</v>
      </c>
      <c r="G11" s="32"/>
      <c r="H11" s="35" t="e">
        <f>IF(ISNUMBER(MATCH(Juli[[#This Row],[Bemerkung]],Setup!$X$73:$X$86,0)),0,VLOOKUP(WEEKDAY(A11,2),Wochenzeiten[],3,0))</f>
        <v>#REF!</v>
      </c>
      <c r="I11" s="35" t="e">
        <f>IF(ISNUMBER(LOOKUP(Juli[[#This Row],[Bemerkung]],Setup!$X$71:$X75)),0,Juli[[#This Row],[Ende]]-Juli[[#This Row],[Beginn]]-Juli[[#This Row],[Pause]]-Juli[[#This Row],[Berechnungshilfe1]])</f>
        <v>#REF!</v>
      </c>
    </row>
    <row r="12" spans="1:15" ht="12.95" customHeight="1" x14ac:dyDescent="0.2">
      <c r="A12" s="53">
        <f t="shared" si="1"/>
        <v>43650</v>
      </c>
      <c r="B12" s="28">
        <v>0</v>
      </c>
      <c r="C12" s="28">
        <v>0</v>
      </c>
      <c r="D12" s="47">
        <f t="shared" si="0"/>
        <v>0</v>
      </c>
      <c r="E12" s="31">
        <f>Juli[[#This Row],[Ende]]-Juli[[#This Row],[Beginn]]-Juli[[#This Row],[Pause]]</f>
        <v>0</v>
      </c>
      <c r="F12" s="33">
        <f>$F$6+SUM($E$8:Juli[[#This Row],[Arbeitszeit]])</f>
        <v>-10</v>
      </c>
      <c r="G12" s="32"/>
      <c r="H12" s="35" t="e">
        <f>IF(ISNUMBER(MATCH(Juli[[#This Row],[Bemerkung]],Setup!$X$73:$X$86,0)),0,VLOOKUP(WEEKDAY(A12,2),Wochenzeiten[],3,0))</f>
        <v>#REF!</v>
      </c>
      <c r="I12" s="35" t="e">
        <f>IF(ISNUMBER(LOOKUP(Juli[[#This Row],[Bemerkung]],Setup!$X$71:$X76)),0,Juli[[#This Row],[Ende]]-Juli[[#This Row],[Beginn]]-Juli[[#This Row],[Pause]]-Juli[[#This Row],[Berechnungshilfe1]])</f>
        <v>#REF!</v>
      </c>
    </row>
    <row r="13" spans="1:15" ht="12.95" customHeight="1" x14ac:dyDescent="0.2">
      <c r="A13" s="53">
        <f t="shared" si="1"/>
        <v>43651</v>
      </c>
      <c r="B13" s="28">
        <v>0</v>
      </c>
      <c r="C13" s="28">
        <v>0</v>
      </c>
      <c r="D13" s="47">
        <f t="shared" si="0"/>
        <v>0</v>
      </c>
      <c r="E13" s="31">
        <f>Juli[[#This Row],[Ende]]-Juli[[#This Row],[Beginn]]-Juli[[#This Row],[Pause]]</f>
        <v>0</v>
      </c>
      <c r="F13" s="33">
        <f>$F$6+SUM($E$8:Juli[[#This Row],[Arbeitszeit]])</f>
        <v>-10</v>
      </c>
      <c r="G13" s="34"/>
      <c r="H13" s="35" t="e">
        <f>IF(ISNUMBER(MATCH(Juli[[#This Row],[Bemerkung]],Setup!$X$73:$X$86,0)),0,VLOOKUP(WEEKDAY(A13,2),Wochenzeiten[],3,0))</f>
        <v>#REF!</v>
      </c>
      <c r="I13" s="35" t="e">
        <f>IF(ISNUMBER(LOOKUP(Juli[[#This Row],[Bemerkung]],Setup!$X$71:$X77)),0,Juli[[#This Row],[Ende]]-Juli[[#This Row],[Beginn]]-Juli[[#This Row],[Pause]]-Juli[[#This Row],[Berechnungshilfe1]])</f>
        <v>#REF!</v>
      </c>
    </row>
    <row r="14" spans="1:15" ht="12.95" customHeight="1" x14ac:dyDescent="0.2">
      <c r="A14" s="53">
        <f t="shared" si="1"/>
        <v>43652</v>
      </c>
      <c r="B14" s="28">
        <v>0</v>
      </c>
      <c r="C14" s="28">
        <v>0</v>
      </c>
      <c r="D14" s="47">
        <f t="shared" si="0"/>
        <v>0</v>
      </c>
      <c r="E14" s="31">
        <f>Juli[[#This Row],[Ende]]-Juli[[#This Row],[Beginn]]-Juli[[#This Row],[Pause]]</f>
        <v>0</v>
      </c>
      <c r="F14" s="33">
        <f>$F$6+SUM($E$8:Juli[[#This Row],[Arbeitszeit]])</f>
        <v>-10</v>
      </c>
      <c r="G14" s="32"/>
      <c r="H14" s="35" t="e">
        <f>IF(ISNUMBER(MATCH(Juli[[#This Row],[Bemerkung]],Setup!$X$73:$X$86,0)),0,VLOOKUP(WEEKDAY(A14,2),Wochenzeiten[],3,0))</f>
        <v>#REF!</v>
      </c>
      <c r="I14" s="35" t="e">
        <f>IF(ISNUMBER(LOOKUP(Juli[[#This Row],[Bemerkung]],Setup!$X$71:$X79)),0,Juli[[#This Row],[Ende]]-Juli[[#This Row],[Beginn]]-Juli[[#This Row],[Pause]]-Juli[[#This Row],[Berechnungshilfe1]])</f>
        <v>#REF!</v>
      </c>
    </row>
    <row r="15" spans="1:15" ht="12.95" customHeight="1" x14ac:dyDescent="0.2">
      <c r="A15" s="53">
        <f t="shared" si="1"/>
        <v>43653</v>
      </c>
      <c r="B15" s="28">
        <v>0</v>
      </c>
      <c r="C15" s="28">
        <v>0</v>
      </c>
      <c r="D15" s="47">
        <f t="shared" si="0"/>
        <v>0</v>
      </c>
      <c r="E15" s="31">
        <f>Juli[[#This Row],[Ende]]-Juli[[#This Row],[Beginn]]-Juli[[#This Row],[Pause]]</f>
        <v>0</v>
      </c>
      <c r="F15" s="33">
        <f>$F$6+SUM($E$8:Juli[[#This Row],[Arbeitszeit]])</f>
        <v>-10</v>
      </c>
      <c r="G15" s="32"/>
      <c r="H15" s="35" t="e">
        <f>IF(ISNUMBER(MATCH(Juli[[#This Row],[Bemerkung]],Setup!$X$73:$X$86,0)),0,VLOOKUP(WEEKDAY(A15,2),Wochenzeiten[],3,0))</f>
        <v>#REF!</v>
      </c>
      <c r="I15" s="35" t="e">
        <f>IF(ISNUMBER(LOOKUP(Juli[[#This Row],[Bemerkung]],Setup!$X$71:$X80)),0,Juli[[#This Row],[Ende]]-Juli[[#This Row],[Beginn]]-Juli[[#This Row],[Pause]]-Juli[[#This Row],[Berechnungshilfe1]])</f>
        <v>#REF!</v>
      </c>
    </row>
    <row r="16" spans="1:15" ht="12.95" customHeight="1" x14ac:dyDescent="0.2">
      <c r="A16" s="53">
        <f t="shared" si="1"/>
        <v>43654</v>
      </c>
      <c r="B16" s="28">
        <v>0</v>
      </c>
      <c r="C16" s="28">
        <v>0</v>
      </c>
      <c r="D16" s="47">
        <f t="shared" si="0"/>
        <v>0</v>
      </c>
      <c r="E16" s="31">
        <f>Juli[[#This Row],[Ende]]-Juli[[#This Row],[Beginn]]-Juli[[#This Row],[Pause]]</f>
        <v>0</v>
      </c>
      <c r="F16" s="33">
        <f>$F$6+SUM($E$8:Juli[[#This Row],[Arbeitszeit]])</f>
        <v>-10</v>
      </c>
      <c r="G16" s="32"/>
      <c r="H16" s="35" t="e">
        <f>IF(ISNUMBER(MATCH(Juli[[#This Row],[Bemerkung]],Setup!$X$73:$X$86,0)),0,VLOOKUP(WEEKDAY(A16,2),Wochenzeiten[],3,0))</f>
        <v>#REF!</v>
      </c>
      <c r="I16" s="35" t="e">
        <f>IF(ISNUMBER(LOOKUP(Juli[[#This Row],[Bemerkung]],Setup!$X$71:$X81)),0,Juli[[#This Row],[Ende]]-Juli[[#This Row],[Beginn]]-Juli[[#This Row],[Pause]]-Juli[[#This Row],[Berechnungshilfe1]])</f>
        <v>#REF!</v>
      </c>
    </row>
    <row r="17" spans="1:9" ht="12.95" customHeight="1" x14ac:dyDescent="0.2">
      <c r="A17" s="53">
        <f t="shared" si="1"/>
        <v>43655</v>
      </c>
      <c r="B17" s="28">
        <v>0</v>
      </c>
      <c r="C17" s="28">
        <v>0</v>
      </c>
      <c r="D17" s="47">
        <f t="shared" si="0"/>
        <v>0</v>
      </c>
      <c r="E17" s="31">
        <f>Juli[[#This Row],[Ende]]-Juli[[#This Row],[Beginn]]-Juli[[#This Row],[Pause]]</f>
        <v>0</v>
      </c>
      <c r="F17" s="33">
        <f>$F$6+SUM($E$8:Juli[[#This Row],[Arbeitszeit]])</f>
        <v>-10</v>
      </c>
      <c r="G17" s="32"/>
      <c r="H17" s="35" t="e">
        <f>IF(ISNUMBER(MATCH(Juli[[#This Row],[Bemerkung]],Setup!$X$73:$X$86,0)),0,VLOOKUP(WEEKDAY(A17,2),Wochenzeiten[],3,0))</f>
        <v>#REF!</v>
      </c>
      <c r="I17" s="35" t="e">
        <f>IF(ISNUMBER(LOOKUP(Juli[[#This Row],[Bemerkung]],Setup!$X$71:$X82)),0,Juli[[#This Row],[Ende]]-Juli[[#This Row],[Beginn]]-Juli[[#This Row],[Pause]]-Juli[[#This Row],[Berechnungshilfe1]])</f>
        <v>#REF!</v>
      </c>
    </row>
    <row r="18" spans="1:9" ht="12.95" customHeight="1" x14ac:dyDescent="0.2">
      <c r="A18" s="53">
        <f t="shared" si="1"/>
        <v>43656</v>
      </c>
      <c r="B18" s="28">
        <v>0</v>
      </c>
      <c r="C18" s="28">
        <v>0</v>
      </c>
      <c r="D18" s="47">
        <f t="shared" si="0"/>
        <v>0</v>
      </c>
      <c r="E18" s="31">
        <f>Juli[[#This Row],[Ende]]-Juli[[#This Row],[Beginn]]-Juli[[#This Row],[Pause]]</f>
        <v>0</v>
      </c>
      <c r="F18" s="33">
        <f>$F$6+SUM($E$8:Juli[[#This Row],[Arbeitszeit]])</f>
        <v>-10</v>
      </c>
      <c r="G18" s="32"/>
      <c r="H18" s="35" t="e">
        <f>IF(ISNUMBER(MATCH(Juli[[#This Row],[Bemerkung]],Setup!$X$73:$X$86,0)),0,VLOOKUP(WEEKDAY(A18,2),Wochenzeiten[],3,0))</f>
        <v>#REF!</v>
      </c>
      <c r="I18" s="35" t="e">
        <f>IF(ISNUMBER(LOOKUP(Juli[[#This Row],[Bemerkung]],Setup!$X$71:$X83)),0,Juli[[#This Row],[Ende]]-Juli[[#This Row],[Beginn]]-Juli[[#This Row],[Pause]]-Juli[[#This Row],[Berechnungshilfe1]])</f>
        <v>#REF!</v>
      </c>
    </row>
    <row r="19" spans="1:9" ht="12.95" customHeight="1" x14ac:dyDescent="0.2">
      <c r="A19" s="53">
        <f t="shared" si="1"/>
        <v>43657</v>
      </c>
      <c r="B19" s="28">
        <v>0</v>
      </c>
      <c r="C19" s="28">
        <v>0</v>
      </c>
      <c r="D19" s="47">
        <f t="shared" si="0"/>
        <v>0</v>
      </c>
      <c r="E19" s="31">
        <f>Juli[[#This Row],[Ende]]-Juli[[#This Row],[Beginn]]-Juli[[#This Row],[Pause]]</f>
        <v>0</v>
      </c>
      <c r="F19" s="33">
        <f>$F$6+SUM($E$8:Juli[[#This Row],[Arbeitszeit]])</f>
        <v>-10</v>
      </c>
      <c r="G19" s="32"/>
      <c r="H19" s="35" t="e">
        <f>IF(ISNUMBER(MATCH(Juli[[#This Row],[Bemerkung]],Setup!$X$73:$X$86,0)),0,VLOOKUP(WEEKDAY(A19,2),Wochenzeiten[],3,0))</f>
        <v>#REF!</v>
      </c>
      <c r="I19" s="35" t="e">
        <f>IF(ISNUMBER(LOOKUP(Juli[[#This Row],[Bemerkung]],Setup!$X$71:$X84)),0,Juli[[#This Row],[Ende]]-Juli[[#This Row],[Beginn]]-Juli[[#This Row],[Pause]]-Juli[[#This Row],[Berechnungshilfe1]])</f>
        <v>#REF!</v>
      </c>
    </row>
    <row r="20" spans="1:9" ht="12.95" customHeight="1" x14ac:dyDescent="0.2">
      <c r="A20" s="53">
        <f t="shared" si="1"/>
        <v>43658</v>
      </c>
      <c r="B20" s="28">
        <v>0</v>
      </c>
      <c r="C20" s="28">
        <v>0</v>
      </c>
      <c r="D20" s="47">
        <f t="shared" si="0"/>
        <v>0</v>
      </c>
      <c r="E20" s="31">
        <f>Juli[[#This Row],[Ende]]-Juli[[#This Row],[Beginn]]-Juli[[#This Row],[Pause]]</f>
        <v>0</v>
      </c>
      <c r="F20" s="33">
        <f>$F$6+SUM($E$8:Juli[[#This Row],[Arbeitszeit]])</f>
        <v>-10</v>
      </c>
      <c r="G20" s="32"/>
      <c r="H20" s="35" t="e">
        <f>IF(ISNUMBER(MATCH(Juli[[#This Row],[Bemerkung]],Setup!$X$73:$X$86,0)),0,VLOOKUP(WEEKDAY(A20,2),Wochenzeiten[],3,0))</f>
        <v>#REF!</v>
      </c>
      <c r="I20" s="35" t="e">
        <f>IF(ISNUMBER(LOOKUP(Juli[[#This Row],[Bemerkung]],Setup!$X$71:$X85)),0,Juli[[#This Row],[Ende]]-Juli[[#This Row],[Beginn]]-Juli[[#This Row],[Pause]]-Juli[[#This Row],[Berechnungshilfe1]])</f>
        <v>#REF!</v>
      </c>
    </row>
    <row r="21" spans="1:9" ht="12.95" customHeight="1" x14ac:dyDescent="0.2">
      <c r="A21" s="53">
        <f t="shared" si="1"/>
        <v>43659</v>
      </c>
      <c r="B21" s="28">
        <v>0</v>
      </c>
      <c r="C21" s="28">
        <v>0</v>
      </c>
      <c r="D21" s="47">
        <f t="shared" si="0"/>
        <v>0</v>
      </c>
      <c r="E21" s="31">
        <f>Juli[[#This Row],[Ende]]-Juli[[#This Row],[Beginn]]-Juli[[#This Row],[Pause]]</f>
        <v>0</v>
      </c>
      <c r="F21" s="33">
        <f>$F$6+SUM($E$8:Juli[[#This Row],[Arbeitszeit]])</f>
        <v>-10</v>
      </c>
      <c r="G21" s="32"/>
      <c r="H21" s="35" t="e">
        <f>IF(ISNUMBER(MATCH(Juli[[#This Row],[Bemerkung]],Setup!$X$73:$X$86,0)),0,VLOOKUP(WEEKDAY(A21,2),Wochenzeiten[],3,0))</f>
        <v>#REF!</v>
      </c>
      <c r="I21" s="35" t="e">
        <f>IF(ISNUMBER(LOOKUP(Juli[[#This Row],[Bemerkung]],Setup!$X$71:$X86)),0,Juli[[#This Row],[Ende]]-Juli[[#This Row],[Beginn]]-Juli[[#This Row],[Pause]]-Juli[[#This Row],[Berechnungshilfe1]])</f>
        <v>#REF!</v>
      </c>
    </row>
    <row r="22" spans="1:9" ht="12.95" customHeight="1" x14ac:dyDescent="0.2">
      <c r="A22" s="53">
        <f t="shared" si="1"/>
        <v>43660</v>
      </c>
      <c r="B22" s="28">
        <v>0</v>
      </c>
      <c r="C22" s="28">
        <v>0</v>
      </c>
      <c r="D22" s="47">
        <f t="shared" si="0"/>
        <v>0</v>
      </c>
      <c r="E22" s="31">
        <f>Juli[[#This Row],[Ende]]-Juli[[#This Row],[Beginn]]-Juli[[#This Row],[Pause]]</f>
        <v>0</v>
      </c>
      <c r="F22" s="33">
        <f>$F$6+SUM($E$8:Juli[[#This Row],[Arbeitszeit]])</f>
        <v>-10</v>
      </c>
      <c r="G22" s="32"/>
      <c r="H22" s="35" t="e">
        <f>IF(ISNUMBER(MATCH(Juli[[#This Row],[Bemerkung]],Setup!$X$73:$X$86,0)),0,VLOOKUP(WEEKDAY(A22,2),Wochenzeiten[],3,0))</f>
        <v>#REF!</v>
      </c>
      <c r="I22" s="35" t="e">
        <f>IF(ISNUMBER(LOOKUP(Juli[[#This Row],[Bemerkung]],Setup!$X$71:$X87)),0,Juli[[#This Row],[Ende]]-Juli[[#This Row],[Beginn]]-Juli[[#This Row],[Pause]]-Juli[[#This Row],[Berechnungshilfe1]])</f>
        <v>#REF!</v>
      </c>
    </row>
    <row r="23" spans="1:9" ht="12.95" customHeight="1" x14ac:dyDescent="0.2">
      <c r="A23" s="53">
        <f t="shared" si="1"/>
        <v>43661</v>
      </c>
      <c r="B23" s="28">
        <v>0</v>
      </c>
      <c r="C23" s="28">
        <v>0</v>
      </c>
      <c r="D23" s="47">
        <f t="shared" si="0"/>
        <v>0</v>
      </c>
      <c r="E23" s="31">
        <f>Juli[[#This Row],[Ende]]-Juli[[#This Row],[Beginn]]-Juli[[#This Row],[Pause]]</f>
        <v>0</v>
      </c>
      <c r="F23" s="33">
        <f>$F$6+SUM($E$8:Juli[[#This Row],[Arbeitszeit]])</f>
        <v>-10</v>
      </c>
      <c r="G23" s="32"/>
      <c r="H23" s="35" t="e">
        <f>IF(ISNUMBER(MATCH(Juli[[#This Row],[Bemerkung]],Setup!$X$73:$X$86,0)),0,VLOOKUP(WEEKDAY(A23,2),Wochenzeiten[],3,0))</f>
        <v>#REF!</v>
      </c>
      <c r="I23" s="35" t="e">
        <f>IF(ISNUMBER(LOOKUP(Juli[[#This Row],[Bemerkung]],Setup!$X$71:$X87)),0,Juli[[#This Row],[Ende]]-Juli[[#This Row],[Beginn]]-Juli[[#This Row],[Pause]]-Juli[[#This Row],[Berechnungshilfe1]])</f>
        <v>#REF!</v>
      </c>
    </row>
    <row r="24" spans="1:9" ht="12.95" customHeight="1" x14ac:dyDescent="0.2">
      <c r="A24" s="53">
        <f t="shared" si="1"/>
        <v>43662</v>
      </c>
      <c r="B24" s="28">
        <v>0</v>
      </c>
      <c r="C24" s="28">
        <v>0</v>
      </c>
      <c r="D24" s="47">
        <f t="shared" si="0"/>
        <v>0</v>
      </c>
      <c r="E24" s="31">
        <f>Juli[[#This Row],[Ende]]-Juli[[#This Row],[Beginn]]-Juli[[#This Row],[Pause]]</f>
        <v>0</v>
      </c>
      <c r="F24" s="33">
        <f>$F$6+SUM($E$8:Juli[[#This Row],[Arbeitszeit]])</f>
        <v>-10</v>
      </c>
      <c r="G24" s="32"/>
      <c r="H24" s="35" t="e">
        <f>IF(ISNUMBER(MATCH(Juli[[#This Row],[Bemerkung]],Setup!$X$73:$X$86,0)),0,VLOOKUP(WEEKDAY(A24,2),Wochenzeiten[],3,0))</f>
        <v>#REF!</v>
      </c>
      <c r="I24" s="35" t="e">
        <f>IF(ISNUMBER(LOOKUP(Juli[[#This Row],[Bemerkung]],Setup!$X$71:$X88)),0,Juli[[#This Row],[Ende]]-Juli[[#This Row],[Beginn]]-Juli[[#This Row],[Pause]]-Juli[[#This Row],[Berechnungshilfe1]])</f>
        <v>#REF!</v>
      </c>
    </row>
    <row r="25" spans="1:9" ht="12.95" customHeight="1" x14ac:dyDescent="0.2">
      <c r="A25" s="53">
        <f t="shared" si="1"/>
        <v>43663</v>
      </c>
      <c r="B25" s="28">
        <v>0</v>
      </c>
      <c r="C25" s="28">
        <v>0</v>
      </c>
      <c r="D25" s="47">
        <f t="shared" si="0"/>
        <v>0</v>
      </c>
      <c r="E25" s="31">
        <f>Juli[[#This Row],[Ende]]-Juli[[#This Row],[Beginn]]-Juli[[#This Row],[Pause]]</f>
        <v>0</v>
      </c>
      <c r="F25" s="33">
        <f>$F$6+SUM($E$8:Juli[[#This Row],[Arbeitszeit]])</f>
        <v>-10</v>
      </c>
      <c r="G25" s="32"/>
      <c r="H25" s="35" t="e">
        <f>IF(ISNUMBER(MATCH(Juli[[#This Row],[Bemerkung]],Setup!$X$73:$X$86,0)),0,VLOOKUP(WEEKDAY(A25,2),Wochenzeiten[],3,0))</f>
        <v>#REF!</v>
      </c>
      <c r="I25" s="35" t="e">
        <f>IF(ISNUMBER(LOOKUP(Juli[[#This Row],[Bemerkung]],Setup!$X$71:$X89)),0,Juli[[#This Row],[Ende]]-Juli[[#This Row],[Beginn]]-Juli[[#This Row],[Pause]]-Juli[[#This Row],[Berechnungshilfe1]])</f>
        <v>#REF!</v>
      </c>
    </row>
    <row r="26" spans="1:9" ht="12.95" customHeight="1" x14ac:dyDescent="0.2">
      <c r="A26" s="53">
        <f t="shared" si="1"/>
        <v>43664</v>
      </c>
      <c r="B26" s="28">
        <v>0</v>
      </c>
      <c r="C26" s="28">
        <v>0</v>
      </c>
      <c r="D26" s="47">
        <f t="shared" si="0"/>
        <v>0</v>
      </c>
      <c r="E26" s="31">
        <f>Juli[[#This Row],[Ende]]-Juli[[#This Row],[Beginn]]-Juli[[#This Row],[Pause]]</f>
        <v>0</v>
      </c>
      <c r="F26" s="33">
        <f>$F$6+SUM($E$8:Juli[[#This Row],[Arbeitszeit]])</f>
        <v>-10</v>
      </c>
      <c r="G26" s="32"/>
      <c r="H26" s="35" t="e">
        <f>IF(ISNUMBER(MATCH(Juli[[#This Row],[Bemerkung]],Setup!$X$73:$X$86,0)),0,VLOOKUP(WEEKDAY(A26,2),Wochenzeiten[],3,0))</f>
        <v>#REF!</v>
      </c>
      <c r="I26" s="35" t="e">
        <f>IF(ISNUMBER(LOOKUP(Juli[[#This Row],[Bemerkung]],Setup!$X$71:$X90)),0,Juli[[#This Row],[Ende]]-Juli[[#This Row],[Beginn]]-Juli[[#This Row],[Pause]]-Juli[[#This Row],[Berechnungshilfe1]])</f>
        <v>#REF!</v>
      </c>
    </row>
    <row r="27" spans="1:9" ht="12.95" customHeight="1" x14ac:dyDescent="0.2">
      <c r="A27" s="53">
        <f t="shared" si="1"/>
        <v>43665</v>
      </c>
      <c r="B27" s="28">
        <v>0</v>
      </c>
      <c r="C27" s="28">
        <v>0</v>
      </c>
      <c r="D27" s="47">
        <f t="shared" si="0"/>
        <v>0</v>
      </c>
      <c r="E27" s="31">
        <f>Juli[[#This Row],[Ende]]-Juli[[#This Row],[Beginn]]-Juli[[#This Row],[Pause]]</f>
        <v>0</v>
      </c>
      <c r="F27" s="33">
        <f>$F$6+SUM($E$8:Juli[[#This Row],[Arbeitszeit]])</f>
        <v>-10</v>
      </c>
      <c r="G27" s="32"/>
      <c r="H27" s="35" t="e">
        <f>IF(ISNUMBER(MATCH(Juli[[#This Row],[Bemerkung]],Setup!$X$73:$X$86,0)),0,VLOOKUP(WEEKDAY(A27,2),Wochenzeiten[],3,0))</f>
        <v>#REF!</v>
      </c>
      <c r="I27" s="35" t="e">
        <f>IF(ISNUMBER(LOOKUP(Juli[[#This Row],[Bemerkung]],Setup!$X$71:$X91)),0,Juli[[#This Row],[Ende]]-Juli[[#This Row],[Beginn]]-Juli[[#This Row],[Pause]]-Juli[[#This Row],[Berechnungshilfe1]])</f>
        <v>#REF!</v>
      </c>
    </row>
    <row r="28" spans="1:9" ht="12.95" customHeight="1" x14ac:dyDescent="0.2">
      <c r="A28" s="53">
        <f t="shared" si="1"/>
        <v>43666</v>
      </c>
      <c r="B28" s="28">
        <v>0</v>
      </c>
      <c r="C28" s="28">
        <v>0</v>
      </c>
      <c r="D28" s="47">
        <f t="shared" si="0"/>
        <v>0</v>
      </c>
      <c r="E28" s="31">
        <f>Juli[[#This Row],[Ende]]-Juli[[#This Row],[Beginn]]-Juli[[#This Row],[Pause]]</f>
        <v>0</v>
      </c>
      <c r="F28" s="33">
        <f>$F$6+SUM($E$8:Juli[[#This Row],[Arbeitszeit]])</f>
        <v>-10</v>
      </c>
      <c r="G28" s="32"/>
      <c r="H28" s="35" t="e">
        <f>IF(ISNUMBER(MATCH(Juli[[#This Row],[Bemerkung]],Setup!$X$73:$X$86,0)),0,VLOOKUP(WEEKDAY(A28,2),Wochenzeiten[],3,0))</f>
        <v>#REF!</v>
      </c>
      <c r="I28" s="35" t="e">
        <f>IF(ISNUMBER(LOOKUP(Juli[[#This Row],[Bemerkung]],Setup!$X$71:$X92)),0,Juli[[#This Row],[Ende]]-Juli[[#This Row],[Beginn]]-Juli[[#This Row],[Pause]]-Juli[[#This Row],[Berechnungshilfe1]])</f>
        <v>#REF!</v>
      </c>
    </row>
    <row r="29" spans="1:9" ht="12.95" customHeight="1" x14ac:dyDescent="0.2">
      <c r="A29" s="53">
        <f t="shared" si="1"/>
        <v>43667</v>
      </c>
      <c r="B29" s="28">
        <v>0</v>
      </c>
      <c r="C29" s="28">
        <v>0</v>
      </c>
      <c r="D29" s="47">
        <f t="shared" si="0"/>
        <v>0</v>
      </c>
      <c r="E29" s="31">
        <f>Juli[[#This Row],[Ende]]-Juli[[#This Row],[Beginn]]-Juli[[#This Row],[Pause]]</f>
        <v>0</v>
      </c>
      <c r="F29" s="33">
        <f>$F$6+SUM($E$8:Juli[[#This Row],[Arbeitszeit]])</f>
        <v>-10</v>
      </c>
      <c r="G29" s="32"/>
      <c r="H29" s="35" t="e">
        <f>IF(ISNUMBER(MATCH(Juli[[#This Row],[Bemerkung]],Setup!$X$73:$X$86,0)),0,VLOOKUP(WEEKDAY(A29,2),Wochenzeiten[],3,0))</f>
        <v>#REF!</v>
      </c>
      <c r="I29" s="35" t="e">
        <f>IF(ISNUMBER(LOOKUP(Juli[[#This Row],[Bemerkung]],Setup!$X$71:$X93)),0,Juli[[#This Row],[Ende]]-Juli[[#This Row],[Beginn]]-Juli[[#This Row],[Pause]]-Juli[[#This Row],[Berechnungshilfe1]])</f>
        <v>#REF!</v>
      </c>
    </row>
    <row r="30" spans="1:9" ht="12.95" customHeight="1" x14ac:dyDescent="0.2">
      <c r="A30" s="53">
        <f t="shared" si="1"/>
        <v>43668</v>
      </c>
      <c r="B30" s="28">
        <v>0</v>
      </c>
      <c r="C30" s="28">
        <v>0</v>
      </c>
      <c r="D30" s="47">
        <f t="shared" si="0"/>
        <v>0</v>
      </c>
      <c r="E30" s="31">
        <f>Juli[[#This Row],[Ende]]-Juli[[#This Row],[Beginn]]-Juli[[#This Row],[Pause]]</f>
        <v>0</v>
      </c>
      <c r="F30" s="33">
        <f>$F$6+SUM($E$8:Juli[[#This Row],[Arbeitszeit]])</f>
        <v>-10</v>
      </c>
      <c r="G30" s="32"/>
      <c r="H30" s="35" t="e">
        <f>IF(ISNUMBER(MATCH(Juli[[#This Row],[Bemerkung]],Setup!$X$73:$X$86,0)),0,VLOOKUP(WEEKDAY(A30,2),Wochenzeiten[],3,0))</f>
        <v>#REF!</v>
      </c>
      <c r="I30" s="35" t="e">
        <f>IF(ISNUMBER(LOOKUP(Juli[[#This Row],[Bemerkung]],Setup!$X$71:$X94)),0,Juli[[#This Row],[Ende]]-Juli[[#This Row],[Beginn]]-Juli[[#This Row],[Pause]]-Juli[[#This Row],[Berechnungshilfe1]])</f>
        <v>#REF!</v>
      </c>
    </row>
    <row r="31" spans="1:9" ht="12.95" customHeight="1" x14ac:dyDescent="0.2">
      <c r="A31" s="53">
        <f t="shared" si="1"/>
        <v>43669</v>
      </c>
      <c r="B31" s="28">
        <v>0</v>
      </c>
      <c r="C31" s="28">
        <v>0</v>
      </c>
      <c r="D31" s="47">
        <f t="shared" si="0"/>
        <v>0</v>
      </c>
      <c r="E31" s="31">
        <f>Juli[[#This Row],[Ende]]-Juli[[#This Row],[Beginn]]-Juli[[#This Row],[Pause]]</f>
        <v>0</v>
      </c>
      <c r="F31" s="33">
        <f>$F$6+SUM($E$8:Juli[[#This Row],[Arbeitszeit]])</f>
        <v>-10</v>
      </c>
      <c r="G31" s="32"/>
      <c r="H31" s="35" t="e">
        <f>IF(ISNUMBER(MATCH(Juli[[#This Row],[Bemerkung]],Setup!$X$73:$X$86,0)),0,VLOOKUP(WEEKDAY(A31,2),Wochenzeiten[],3,0))</f>
        <v>#REF!</v>
      </c>
      <c r="I31" s="35" t="e">
        <f>IF(ISNUMBER(LOOKUP(Juli[[#This Row],[Bemerkung]],Setup!$X$71:$X95)),0,Juli[[#This Row],[Ende]]-Juli[[#This Row],[Beginn]]-Juli[[#This Row],[Pause]]-Juli[[#This Row],[Berechnungshilfe1]])</f>
        <v>#REF!</v>
      </c>
    </row>
    <row r="32" spans="1:9" ht="12.95" customHeight="1" x14ac:dyDescent="0.2">
      <c r="A32" s="53">
        <f t="shared" si="1"/>
        <v>43670</v>
      </c>
      <c r="B32" s="28">
        <v>0</v>
      </c>
      <c r="C32" s="28">
        <v>0</v>
      </c>
      <c r="D32" s="47">
        <f t="shared" si="0"/>
        <v>0</v>
      </c>
      <c r="E32" s="31">
        <f>Juli[[#This Row],[Ende]]-Juli[[#This Row],[Beginn]]-Juli[[#This Row],[Pause]]</f>
        <v>0</v>
      </c>
      <c r="F32" s="33">
        <f>$F$6+SUM($E$8:Juli[[#This Row],[Arbeitszeit]])</f>
        <v>-10</v>
      </c>
      <c r="G32" s="32"/>
      <c r="H32" s="35" t="e">
        <f>IF(ISNUMBER(MATCH(Juli[[#This Row],[Bemerkung]],Setup!$X$73:$X$86,0)),0,VLOOKUP(WEEKDAY(A32,2),Wochenzeiten[],3,0))</f>
        <v>#REF!</v>
      </c>
      <c r="I32" s="35" t="e">
        <f>IF(ISNUMBER(LOOKUP(Juli[[#This Row],[Bemerkung]],Setup!$X$71:$X96)),0,Juli[[#This Row],[Ende]]-Juli[[#This Row],[Beginn]]-Juli[[#This Row],[Pause]]-Juli[[#This Row],[Berechnungshilfe1]])</f>
        <v>#REF!</v>
      </c>
    </row>
    <row r="33" spans="1:9" ht="12.95" customHeight="1" x14ac:dyDescent="0.2">
      <c r="A33" s="53">
        <f t="shared" si="1"/>
        <v>43671</v>
      </c>
      <c r="B33" s="28">
        <v>0</v>
      </c>
      <c r="C33" s="28">
        <v>0</v>
      </c>
      <c r="D33" s="47">
        <f t="shared" si="0"/>
        <v>0</v>
      </c>
      <c r="E33" s="31">
        <f>Juli[[#This Row],[Ende]]-Juli[[#This Row],[Beginn]]-Juli[[#This Row],[Pause]]</f>
        <v>0</v>
      </c>
      <c r="F33" s="33">
        <f>$F$6+SUM($E$8:Juli[[#This Row],[Arbeitszeit]])</f>
        <v>-10</v>
      </c>
      <c r="G33" s="32"/>
      <c r="H33" s="35" t="e">
        <f>IF(ISNUMBER(MATCH(Juli[[#This Row],[Bemerkung]],Setup!$X$73:$X$86,0)),0,VLOOKUP(WEEKDAY(A33,2),Wochenzeiten[],3,0))</f>
        <v>#REF!</v>
      </c>
      <c r="I33" s="35" t="e">
        <f>IF(ISNUMBER(LOOKUP(Juli[[#This Row],[Bemerkung]],Setup!$X$71:$X97)),0,Juli[[#This Row],[Ende]]-Juli[[#This Row],[Beginn]]-Juli[[#This Row],[Pause]]-Juli[[#This Row],[Berechnungshilfe1]])</f>
        <v>#REF!</v>
      </c>
    </row>
    <row r="34" spans="1:9" ht="12.95" customHeight="1" x14ac:dyDescent="0.2">
      <c r="A34" s="53">
        <f t="shared" si="1"/>
        <v>43672</v>
      </c>
      <c r="B34" s="28">
        <v>0</v>
      </c>
      <c r="C34" s="28">
        <v>0</v>
      </c>
      <c r="D34" s="47">
        <f t="shared" si="0"/>
        <v>0</v>
      </c>
      <c r="E34" s="31">
        <f>Juli[[#This Row],[Ende]]-Juli[[#This Row],[Beginn]]-Juli[[#This Row],[Pause]]</f>
        <v>0</v>
      </c>
      <c r="F34" s="33">
        <f>$F$6+SUM($E$8:Juli[[#This Row],[Arbeitszeit]])</f>
        <v>-10</v>
      </c>
      <c r="G34" s="32"/>
      <c r="H34" s="35" t="e">
        <f>IF(ISNUMBER(MATCH(Juli[[#This Row],[Bemerkung]],Setup!$X$73:$X$86,0)),0,VLOOKUP(WEEKDAY(A34,2),Wochenzeiten[],3,0))</f>
        <v>#REF!</v>
      </c>
      <c r="I34" s="35" t="e">
        <f>IF(ISNUMBER(LOOKUP(Juli[[#This Row],[Bemerkung]],Setup!$X$71:$X98)),0,Juli[[#This Row],[Ende]]-Juli[[#This Row],[Beginn]]-Juli[[#This Row],[Pause]]-Juli[[#This Row],[Berechnungshilfe1]])</f>
        <v>#REF!</v>
      </c>
    </row>
    <row r="35" spans="1:9" ht="12.75" customHeight="1" x14ac:dyDescent="0.2">
      <c r="A35" s="53">
        <f t="shared" si="1"/>
        <v>43673</v>
      </c>
      <c r="B35" s="28">
        <v>0</v>
      </c>
      <c r="C35" s="28">
        <v>0</v>
      </c>
      <c r="D35" s="47">
        <f t="shared" si="0"/>
        <v>0</v>
      </c>
      <c r="E35" s="31">
        <f>Juli[[#This Row],[Ende]]-Juli[[#This Row],[Beginn]]-Juli[[#This Row],[Pause]]</f>
        <v>0</v>
      </c>
      <c r="F35" s="33">
        <f>$F$6+SUM($E$8:Juli[[#This Row],[Arbeitszeit]])</f>
        <v>-10</v>
      </c>
      <c r="G35" s="32"/>
      <c r="H35" s="35" t="e">
        <f>IF(ISNUMBER(MATCH(Juli[[#This Row],[Bemerkung]],Setup!$X$73:$X$86,0)),0,VLOOKUP(WEEKDAY(A35,2),Wochenzeiten[],3,0))</f>
        <v>#REF!</v>
      </c>
      <c r="I35" s="35" t="e">
        <f>IF(ISNUMBER(LOOKUP(Juli[[#This Row],[Bemerkung]],Setup!$X$71:$X99)),0,Juli[[#This Row],[Ende]]-Juli[[#This Row],[Beginn]]-Juli[[#This Row],[Pause]]-Juli[[#This Row],[Berechnungshilfe1]])</f>
        <v>#REF!</v>
      </c>
    </row>
    <row r="36" spans="1:9" ht="12.75" customHeight="1" x14ac:dyDescent="0.2">
      <c r="A36" s="53">
        <f t="shared" si="1"/>
        <v>43674</v>
      </c>
      <c r="B36" s="28">
        <v>0</v>
      </c>
      <c r="C36" s="28">
        <v>0</v>
      </c>
      <c r="D36" s="47">
        <f t="shared" si="0"/>
        <v>0</v>
      </c>
      <c r="E36" s="31">
        <f>Juli[[#This Row],[Ende]]-Juli[[#This Row],[Beginn]]-Juli[[#This Row],[Pause]]</f>
        <v>0</v>
      </c>
      <c r="F36" s="33">
        <f>$F$6+SUM($E$8:Juli[[#This Row],[Arbeitszeit]])</f>
        <v>-10</v>
      </c>
      <c r="G36" s="32"/>
      <c r="H36" s="35" t="e">
        <f>IF(ISNUMBER(MATCH(Juli[[#This Row],[Bemerkung]],Setup!$X$73:$X$86,0)),0,VLOOKUP(WEEKDAY(A36,2),Wochenzeiten[],3,0))</f>
        <v>#REF!</v>
      </c>
      <c r="I36" s="35" t="e">
        <f>IF(ISNUMBER(LOOKUP(Juli[[#This Row],[Bemerkung]],Setup!$X$71:$X100)),0,Juli[[#This Row],[Ende]]-Juli[[#This Row],[Beginn]]-Juli[[#This Row],[Pause]]-Juli[[#This Row],[Berechnungshilfe1]])</f>
        <v>#REF!</v>
      </c>
    </row>
    <row r="37" spans="1:9" ht="12.75" customHeight="1" x14ac:dyDescent="0.2">
      <c r="A37" s="53">
        <f t="shared" si="1"/>
        <v>43675</v>
      </c>
      <c r="B37" s="28">
        <v>0</v>
      </c>
      <c r="C37" s="28">
        <v>0</v>
      </c>
      <c r="D37" s="47">
        <f t="shared" si="0"/>
        <v>0</v>
      </c>
      <c r="E37" s="31">
        <f>Juli[[#This Row],[Ende]]-Juli[[#This Row],[Beginn]]-Juli[[#This Row],[Pause]]</f>
        <v>0</v>
      </c>
      <c r="F37" s="33">
        <f>$F$6+SUM($E$8:Juli[[#This Row],[Arbeitszeit]])</f>
        <v>-10</v>
      </c>
      <c r="G37" s="32"/>
      <c r="H37" s="35" t="e">
        <f>IF(ISNUMBER(MATCH(Juli[[#This Row],[Bemerkung]],Setup!$X$73:$X$86,0)),0,VLOOKUP(WEEKDAY(A37,2),Wochenzeiten[],3,0))</f>
        <v>#REF!</v>
      </c>
      <c r="I37" s="35" t="e">
        <f>IF(ISNUMBER(LOOKUP(Juli[[#This Row],[Bemerkung]],Setup!$X$71:$X101)),0,Juli[[#This Row],[Ende]]-Juli[[#This Row],[Beginn]]-Juli[[#This Row],[Pause]]-Juli[[#This Row],[Berechnungshilfe1]])</f>
        <v>#REF!</v>
      </c>
    </row>
    <row r="38" spans="1:9" ht="12.75" customHeight="1" x14ac:dyDescent="0.2">
      <c r="A38" s="53">
        <f t="shared" si="1"/>
        <v>43676</v>
      </c>
      <c r="B38" s="28">
        <v>0</v>
      </c>
      <c r="C38" s="28">
        <v>0</v>
      </c>
      <c r="D38" s="47">
        <f t="shared" si="0"/>
        <v>0</v>
      </c>
      <c r="E38" s="31">
        <f>Juli[[#This Row],[Ende]]-Juli[[#This Row],[Beginn]]-Juli[[#This Row],[Pause]]</f>
        <v>0</v>
      </c>
      <c r="F38" s="33">
        <f>$F$6+SUM($E$8:Juli[[#This Row],[Arbeitszeit]])</f>
        <v>-10</v>
      </c>
      <c r="G38" s="32"/>
      <c r="H38" s="35" t="e">
        <f>IF(ISNUMBER(MATCH(Juli[[#This Row],[Bemerkung]],Setup!$X$73:$X$86,0)),0,VLOOKUP(WEEKDAY(A38,2),Wochenzeiten[],3,0))</f>
        <v>#REF!</v>
      </c>
      <c r="I38" s="35" t="e">
        <f>IF(ISNUMBER(LOOKUP(Juli[[#This Row],[Bemerkung]],Setup!$X$71:$X102)),0,Juli[[#This Row],[Ende]]-Juli[[#This Row],[Beginn]]-Juli[[#This Row],[Pause]]-Juli[[#This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SUM(Juli[Arbeitszeit])+$F$6-E47</f>
        <v>-11.666666666666666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1" priority="1">
      <formula>WEEKDAY($A8,2)&gt;5</formula>
    </cfRule>
    <cfRule type="cellIs" dxfId="10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DATE(Setup!C13,8,1)</f>
        <v>43677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Juli!F39</f>
        <v>-11.666666666666666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43677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August[[#This Row],[Ende]]-August[[#This Row],[Beginn]]-August[[#This Row],[Pause]]</f>
        <v>0</v>
      </c>
      <c r="F8" s="33">
        <f>$F$6+SUM($E$8:August[[#This Row],[Arbeitszeit]])</f>
        <v>-11.666666666666666</v>
      </c>
      <c r="G8" s="32"/>
      <c r="H8" s="35" t="e">
        <f>IF(ISNUMBER(MATCH(August[[#This Row],[Bemerkung]],Setup!$X$73:$X$86,0)),0,VLOOKUP(WEEKDAY(A8,2),Wochenzeiten[],3,0))</f>
        <v>#REF!</v>
      </c>
      <c r="I8" s="35" t="e">
        <f>IF(ISNUMBER(LOOKUP(August[[#This Row],[Bemerkung]],Setup!$X$71:$X72)),0,August[[#This Row],[Ende]]-August[[#This Row],[Beginn]]-August[[#This Row],[Pause]]-August[[#This Row],[Berechnungshilfe1]])</f>
        <v>#REF!</v>
      </c>
    </row>
    <row r="9" spans="1:15" ht="12.95" customHeight="1" x14ac:dyDescent="0.2">
      <c r="A9" s="53">
        <f t="shared" ref="A9:A38" si="1">A8+1</f>
        <v>43678</v>
      </c>
      <c r="B9" s="28">
        <v>0</v>
      </c>
      <c r="C9" s="28">
        <v>0</v>
      </c>
      <c r="D9" s="47">
        <f t="shared" si="0"/>
        <v>0</v>
      </c>
      <c r="E9" s="31">
        <f>August[[#This Row],[Ende]]-August[[#This Row],[Beginn]]-August[[#This Row],[Pause]]</f>
        <v>0</v>
      </c>
      <c r="F9" s="33">
        <f>$F$6+SUM($E$8:August[[#This Row],[Arbeitszeit]])</f>
        <v>-11.666666666666666</v>
      </c>
      <c r="G9" s="32"/>
      <c r="H9" s="35" t="e">
        <f>IF(ISNUMBER(MATCH(August[[#This Row],[Bemerkung]],Setup!$X$73:$X$86,0)),0,VLOOKUP(WEEKDAY(A9,2),Wochenzeiten[],3,0))</f>
        <v>#REF!</v>
      </c>
      <c r="I9" s="35" t="e">
        <f>IF(ISNUMBER(LOOKUP(August[[#This Row],[Bemerkung]],Setup!$X$71:$X73)),0,August[[#This Row],[Ende]]-August[[#This Row],[Beginn]]-August[[#This Row],[Pause]]-August[[#This Row],[Berechnungshilfe1]])</f>
        <v>#REF!</v>
      </c>
    </row>
    <row r="10" spans="1:15" ht="12.95" customHeight="1" x14ac:dyDescent="0.2">
      <c r="A10" s="53">
        <f t="shared" si="1"/>
        <v>43679</v>
      </c>
      <c r="B10" s="28">
        <v>0</v>
      </c>
      <c r="C10" s="28">
        <v>0</v>
      </c>
      <c r="D10" s="47">
        <f t="shared" si="0"/>
        <v>0</v>
      </c>
      <c r="E10" s="31">
        <f>August[[#This Row],[Ende]]-August[[#This Row],[Beginn]]-August[[#This Row],[Pause]]</f>
        <v>0</v>
      </c>
      <c r="F10" s="33">
        <f>$F$6+SUM($E$8:August[[#This Row],[Arbeitszeit]])</f>
        <v>-11.666666666666666</v>
      </c>
      <c r="G10" s="34"/>
      <c r="H10" s="35" t="e">
        <f>IF(ISNUMBER(MATCH(August[[#This Row],[Bemerkung]],Setup!$X$73:$X$86,0)),0,VLOOKUP(WEEKDAY(A10,2),Wochenzeiten[],3,0))</f>
        <v>#REF!</v>
      </c>
      <c r="I10" s="35" t="e">
        <f>IF(ISNUMBER(LOOKUP(August[[#This Row],[Bemerkung]],Setup!$X$71:$X74)),0,August[[#This Row],[Ende]]-August[[#This Row],[Beginn]]-August[[#This Row],[Pause]]-August[[#This Row],[Berechnungshilfe1]])</f>
        <v>#REF!</v>
      </c>
    </row>
    <row r="11" spans="1:15" ht="12.95" customHeight="1" x14ac:dyDescent="0.2">
      <c r="A11" s="53">
        <f t="shared" si="1"/>
        <v>43680</v>
      </c>
      <c r="B11" s="28">
        <v>0</v>
      </c>
      <c r="C11" s="28">
        <v>0</v>
      </c>
      <c r="D11" s="47">
        <f t="shared" si="0"/>
        <v>0</v>
      </c>
      <c r="E11" s="31">
        <f>August[[#This Row],[Ende]]-August[[#This Row],[Beginn]]-August[[#This Row],[Pause]]</f>
        <v>0</v>
      </c>
      <c r="F11" s="33">
        <f>$F$6+SUM($E$8:August[[#This Row],[Arbeitszeit]])</f>
        <v>-11.666666666666666</v>
      </c>
      <c r="G11" s="32"/>
      <c r="H11" s="35" t="e">
        <f>IF(ISNUMBER(MATCH(August[[#This Row],[Bemerkung]],Setup!$X$73:$X$86,0)),0,VLOOKUP(WEEKDAY(A11,2),Wochenzeiten[],3,0))</f>
        <v>#REF!</v>
      </c>
      <c r="I11" s="35" t="e">
        <f>IF(ISNUMBER(LOOKUP(August[[#This Row],[Bemerkung]],Setup!$X$71:$X75)),0,August[[#This Row],[Ende]]-August[[#This Row],[Beginn]]-August[[#This Row],[Pause]]-August[[#This Row],[Berechnungshilfe1]])</f>
        <v>#REF!</v>
      </c>
    </row>
    <row r="12" spans="1:15" ht="12.95" customHeight="1" x14ac:dyDescent="0.2">
      <c r="A12" s="53">
        <f t="shared" si="1"/>
        <v>43681</v>
      </c>
      <c r="B12" s="28">
        <v>0</v>
      </c>
      <c r="C12" s="28">
        <v>0</v>
      </c>
      <c r="D12" s="47">
        <f t="shared" si="0"/>
        <v>0</v>
      </c>
      <c r="E12" s="31">
        <f>August[[#This Row],[Ende]]-August[[#This Row],[Beginn]]-August[[#This Row],[Pause]]</f>
        <v>0</v>
      </c>
      <c r="F12" s="33">
        <f>$F$6+SUM($E$8:August[[#This Row],[Arbeitszeit]])</f>
        <v>-11.666666666666666</v>
      </c>
      <c r="G12" s="32"/>
      <c r="H12" s="35" t="e">
        <f>IF(ISNUMBER(MATCH(August[[#This Row],[Bemerkung]],Setup!$X$73:$X$86,0)),0,VLOOKUP(WEEKDAY(A12,2),Wochenzeiten[],3,0))</f>
        <v>#REF!</v>
      </c>
      <c r="I12" s="35" t="e">
        <f>IF(ISNUMBER(LOOKUP(August[[#This Row],[Bemerkung]],Setup!$X$71:$X76)),0,August[[#This Row],[Ende]]-August[[#This Row],[Beginn]]-August[[#This Row],[Pause]]-August[[#This Row],[Berechnungshilfe1]])</f>
        <v>#REF!</v>
      </c>
    </row>
    <row r="13" spans="1:15" ht="12.95" customHeight="1" x14ac:dyDescent="0.2">
      <c r="A13" s="53">
        <f t="shared" si="1"/>
        <v>43682</v>
      </c>
      <c r="B13" s="28">
        <v>0</v>
      </c>
      <c r="C13" s="28">
        <v>0</v>
      </c>
      <c r="D13" s="47">
        <f t="shared" si="0"/>
        <v>0</v>
      </c>
      <c r="E13" s="31">
        <f>August[[#This Row],[Ende]]-August[[#This Row],[Beginn]]-August[[#This Row],[Pause]]</f>
        <v>0</v>
      </c>
      <c r="F13" s="33">
        <f>$F$6+SUM($E$8:August[[#This Row],[Arbeitszeit]])</f>
        <v>-11.666666666666666</v>
      </c>
      <c r="G13" s="34"/>
      <c r="H13" s="35" t="e">
        <f>IF(ISNUMBER(MATCH(August[[#This Row],[Bemerkung]],Setup!$X$73:$X$86,0)),0,VLOOKUP(WEEKDAY(A13,2),Wochenzeiten[],3,0))</f>
        <v>#REF!</v>
      </c>
      <c r="I13" s="35" t="e">
        <f>IF(ISNUMBER(LOOKUP(August[[#This Row],[Bemerkung]],Setup!$X$71:$X77)),0,August[[#This Row],[Ende]]-August[[#This Row],[Beginn]]-August[[#This Row],[Pause]]-August[[#This Row],[Berechnungshilfe1]])</f>
        <v>#REF!</v>
      </c>
    </row>
    <row r="14" spans="1:15" ht="12.95" customHeight="1" x14ac:dyDescent="0.2">
      <c r="A14" s="53">
        <f t="shared" si="1"/>
        <v>43683</v>
      </c>
      <c r="B14" s="28">
        <v>0</v>
      </c>
      <c r="C14" s="28">
        <v>0</v>
      </c>
      <c r="D14" s="47">
        <f t="shared" si="0"/>
        <v>0</v>
      </c>
      <c r="E14" s="31">
        <f>August[[#This Row],[Ende]]-August[[#This Row],[Beginn]]-August[[#This Row],[Pause]]</f>
        <v>0</v>
      </c>
      <c r="F14" s="33">
        <f>$F$6+SUM($E$8:August[[#This Row],[Arbeitszeit]])</f>
        <v>-11.666666666666666</v>
      </c>
      <c r="G14" s="32"/>
      <c r="H14" s="35" t="e">
        <f>IF(ISNUMBER(MATCH(August[[#This Row],[Bemerkung]],Setup!$X$73:$X$86,0)),0,VLOOKUP(WEEKDAY(A14,2),Wochenzeiten[],3,0))</f>
        <v>#REF!</v>
      </c>
      <c r="I14" s="35" t="e">
        <f>IF(ISNUMBER(LOOKUP(August[[#This Row],[Bemerkung]],Setup!$X$71:$X79)),0,August[[#This Row],[Ende]]-August[[#This Row],[Beginn]]-August[[#This Row],[Pause]]-August[[#This Row],[Berechnungshilfe1]])</f>
        <v>#REF!</v>
      </c>
    </row>
    <row r="15" spans="1:15" ht="12.95" customHeight="1" x14ac:dyDescent="0.2">
      <c r="A15" s="53">
        <f t="shared" si="1"/>
        <v>43684</v>
      </c>
      <c r="B15" s="28">
        <v>0</v>
      </c>
      <c r="C15" s="28">
        <v>0</v>
      </c>
      <c r="D15" s="47">
        <f t="shared" si="0"/>
        <v>0</v>
      </c>
      <c r="E15" s="31">
        <f>August[[#This Row],[Ende]]-August[[#This Row],[Beginn]]-August[[#This Row],[Pause]]</f>
        <v>0</v>
      </c>
      <c r="F15" s="33">
        <f>$F$6+SUM($E$8:August[[#This Row],[Arbeitszeit]])</f>
        <v>-11.666666666666666</v>
      </c>
      <c r="G15" s="32"/>
      <c r="H15" s="35" t="e">
        <f>IF(ISNUMBER(MATCH(August[[#This Row],[Bemerkung]],Setup!$X$73:$X$86,0)),0,VLOOKUP(WEEKDAY(A15,2),Wochenzeiten[],3,0))</f>
        <v>#REF!</v>
      </c>
      <c r="I15" s="35" t="e">
        <f>IF(ISNUMBER(LOOKUP(August[[#This Row],[Bemerkung]],Setup!$X$71:$X80)),0,August[[#This Row],[Ende]]-August[[#This Row],[Beginn]]-August[[#This Row],[Pause]]-August[[#This Row],[Berechnungshilfe1]])</f>
        <v>#REF!</v>
      </c>
    </row>
    <row r="16" spans="1:15" ht="12.95" customHeight="1" x14ac:dyDescent="0.2">
      <c r="A16" s="53">
        <f t="shared" si="1"/>
        <v>43685</v>
      </c>
      <c r="B16" s="28">
        <v>0</v>
      </c>
      <c r="C16" s="28">
        <v>0</v>
      </c>
      <c r="D16" s="47">
        <f t="shared" si="0"/>
        <v>0</v>
      </c>
      <c r="E16" s="31">
        <f>August[[#This Row],[Ende]]-August[[#This Row],[Beginn]]-August[[#This Row],[Pause]]</f>
        <v>0</v>
      </c>
      <c r="F16" s="33">
        <f>$F$6+SUM($E$8:August[[#This Row],[Arbeitszeit]])</f>
        <v>-11.666666666666666</v>
      </c>
      <c r="G16" s="32"/>
      <c r="H16" s="35" t="e">
        <f>IF(ISNUMBER(MATCH(August[[#This Row],[Bemerkung]],Setup!$X$73:$X$86,0)),0,VLOOKUP(WEEKDAY(A16,2),Wochenzeiten[],3,0))</f>
        <v>#REF!</v>
      </c>
      <c r="I16" s="35" t="e">
        <f>IF(ISNUMBER(LOOKUP(August[[#This Row],[Bemerkung]],Setup!$X$71:$X81)),0,August[[#This Row],[Ende]]-August[[#This Row],[Beginn]]-August[[#This Row],[Pause]]-August[[#This Row],[Berechnungshilfe1]])</f>
        <v>#REF!</v>
      </c>
    </row>
    <row r="17" spans="1:9" ht="12.95" customHeight="1" x14ac:dyDescent="0.2">
      <c r="A17" s="53">
        <f t="shared" si="1"/>
        <v>43686</v>
      </c>
      <c r="B17" s="28">
        <v>0</v>
      </c>
      <c r="C17" s="28">
        <v>0</v>
      </c>
      <c r="D17" s="47">
        <f t="shared" si="0"/>
        <v>0</v>
      </c>
      <c r="E17" s="31">
        <f>August[[#This Row],[Ende]]-August[[#This Row],[Beginn]]-August[[#This Row],[Pause]]</f>
        <v>0</v>
      </c>
      <c r="F17" s="33">
        <f>$F$6+SUM($E$8:August[[#This Row],[Arbeitszeit]])</f>
        <v>-11.666666666666666</v>
      </c>
      <c r="G17" s="32"/>
      <c r="H17" s="35" t="e">
        <f>IF(ISNUMBER(MATCH(August[[#This Row],[Bemerkung]],Setup!$X$73:$X$86,0)),0,VLOOKUP(WEEKDAY(A17,2),Wochenzeiten[],3,0))</f>
        <v>#REF!</v>
      </c>
      <c r="I17" s="35" t="e">
        <f>IF(ISNUMBER(LOOKUP(August[[#This Row],[Bemerkung]],Setup!$X$71:$X82)),0,August[[#This Row],[Ende]]-August[[#This Row],[Beginn]]-August[[#This Row],[Pause]]-August[[#This Row],[Berechnungshilfe1]])</f>
        <v>#REF!</v>
      </c>
    </row>
    <row r="18" spans="1:9" ht="12.95" customHeight="1" x14ac:dyDescent="0.2">
      <c r="A18" s="53">
        <f t="shared" si="1"/>
        <v>43687</v>
      </c>
      <c r="B18" s="28">
        <v>0</v>
      </c>
      <c r="C18" s="28">
        <v>0</v>
      </c>
      <c r="D18" s="47">
        <f t="shared" si="0"/>
        <v>0</v>
      </c>
      <c r="E18" s="31">
        <f>August[[#This Row],[Ende]]-August[[#This Row],[Beginn]]-August[[#This Row],[Pause]]</f>
        <v>0</v>
      </c>
      <c r="F18" s="33">
        <f>$F$6+SUM($E$8:August[[#This Row],[Arbeitszeit]])</f>
        <v>-11.666666666666666</v>
      </c>
      <c r="G18" s="32"/>
      <c r="H18" s="35" t="e">
        <f>IF(ISNUMBER(MATCH(August[[#This Row],[Bemerkung]],Setup!$X$73:$X$86,0)),0,VLOOKUP(WEEKDAY(A18,2),Wochenzeiten[],3,0))</f>
        <v>#REF!</v>
      </c>
      <c r="I18" s="35" t="e">
        <f>IF(ISNUMBER(LOOKUP(August[[#This Row],[Bemerkung]],Setup!$X$71:$X83)),0,August[[#This Row],[Ende]]-August[[#This Row],[Beginn]]-August[[#This Row],[Pause]]-August[[#This Row],[Berechnungshilfe1]])</f>
        <v>#REF!</v>
      </c>
    </row>
    <row r="19" spans="1:9" ht="12.95" customHeight="1" x14ac:dyDescent="0.2">
      <c r="A19" s="53">
        <f t="shared" si="1"/>
        <v>43688</v>
      </c>
      <c r="B19" s="28">
        <v>0</v>
      </c>
      <c r="C19" s="28">
        <v>0</v>
      </c>
      <c r="D19" s="47">
        <f t="shared" si="0"/>
        <v>0</v>
      </c>
      <c r="E19" s="31">
        <f>August[[#This Row],[Ende]]-August[[#This Row],[Beginn]]-August[[#This Row],[Pause]]</f>
        <v>0</v>
      </c>
      <c r="F19" s="33">
        <f>$F$6+SUM($E$8:August[[#This Row],[Arbeitszeit]])</f>
        <v>-11.666666666666666</v>
      </c>
      <c r="G19" s="32"/>
      <c r="H19" s="35" t="e">
        <f>IF(ISNUMBER(MATCH(August[[#This Row],[Bemerkung]],Setup!$X$73:$X$86,0)),0,VLOOKUP(WEEKDAY(A19,2),Wochenzeiten[],3,0))</f>
        <v>#REF!</v>
      </c>
      <c r="I19" s="35" t="e">
        <f>IF(ISNUMBER(LOOKUP(August[[#This Row],[Bemerkung]],Setup!$X$71:$X84)),0,August[[#This Row],[Ende]]-August[[#This Row],[Beginn]]-August[[#This Row],[Pause]]-August[[#This Row],[Berechnungshilfe1]])</f>
        <v>#REF!</v>
      </c>
    </row>
    <row r="20" spans="1:9" ht="12.95" customHeight="1" x14ac:dyDescent="0.2">
      <c r="A20" s="53">
        <f t="shared" si="1"/>
        <v>43689</v>
      </c>
      <c r="B20" s="28">
        <v>0</v>
      </c>
      <c r="C20" s="28">
        <v>0</v>
      </c>
      <c r="D20" s="47">
        <f t="shared" si="0"/>
        <v>0</v>
      </c>
      <c r="E20" s="31">
        <f>August[[#This Row],[Ende]]-August[[#This Row],[Beginn]]-August[[#This Row],[Pause]]</f>
        <v>0</v>
      </c>
      <c r="F20" s="33">
        <f>$F$6+SUM($E$8:August[[#This Row],[Arbeitszeit]])</f>
        <v>-11.666666666666666</v>
      </c>
      <c r="G20" s="32"/>
      <c r="H20" s="35" t="e">
        <f>IF(ISNUMBER(MATCH(August[[#This Row],[Bemerkung]],Setup!$X$73:$X$86,0)),0,VLOOKUP(WEEKDAY(A20,2),Wochenzeiten[],3,0))</f>
        <v>#REF!</v>
      </c>
      <c r="I20" s="35" t="e">
        <f>IF(ISNUMBER(LOOKUP(August[[#This Row],[Bemerkung]],Setup!$X$71:$X85)),0,August[[#This Row],[Ende]]-August[[#This Row],[Beginn]]-August[[#This Row],[Pause]]-August[[#This Row],[Berechnungshilfe1]])</f>
        <v>#REF!</v>
      </c>
    </row>
    <row r="21" spans="1:9" ht="12.95" customHeight="1" x14ac:dyDescent="0.2">
      <c r="A21" s="53">
        <f t="shared" si="1"/>
        <v>43690</v>
      </c>
      <c r="B21" s="28">
        <v>0</v>
      </c>
      <c r="C21" s="28">
        <v>0</v>
      </c>
      <c r="D21" s="47">
        <f t="shared" si="0"/>
        <v>0</v>
      </c>
      <c r="E21" s="31">
        <f>August[[#This Row],[Ende]]-August[[#This Row],[Beginn]]-August[[#This Row],[Pause]]</f>
        <v>0</v>
      </c>
      <c r="F21" s="33">
        <f>$F$6+SUM($E$8:August[[#This Row],[Arbeitszeit]])</f>
        <v>-11.666666666666666</v>
      </c>
      <c r="G21" s="32"/>
      <c r="H21" s="35" t="e">
        <f>IF(ISNUMBER(MATCH(August[[#This Row],[Bemerkung]],Setup!$X$73:$X$86,0)),0,VLOOKUP(WEEKDAY(A21,2),Wochenzeiten[],3,0))</f>
        <v>#REF!</v>
      </c>
      <c r="I21" s="35" t="e">
        <f>IF(ISNUMBER(LOOKUP(August[[#This Row],[Bemerkung]],Setup!$X$71:$X86)),0,August[[#This Row],[Ende]]-August[[#This Row],[Beginn]]-August[[#This Row],[Pause]]-August[[#This Row],[Berechnungshilfe1]])</f>
        <v>#REF!</v>
      </c>
    </row>
    <row r="22" spans="1:9" ht="12.95" customHeight="1" x14ac:dyDescent="0.2">
      <c r="A22" s="53">
        <f t="shared" si="1"/>
        <v>43691</v>
      </c>
      <c r="B22" s="28">
        <v>0</v>
      </c>
      <c r="C22" s="28">
        <v>0</v>
      </c>
      <c r="D22" s="47">
        <f t="shared" si="0"/>
        <v>0</v>
      </c>
      <c r="E22" s="31">
        <f>August[[#This Row],[Ende]]-August[[#This Row],[Beginn]]-August[[#This Row],[Pause]]</f>
        <v>0</v>
      </c>
      <c r="F22" s="33">
        <f>$F$6+SUM($E$8:August[[#This Row],[Arbeitszeit]])</f>
        <v>-11.666666666666666</v>
      </c>
      <c r="G22" s="32"/>
      <c r="H22" s="35" t="e">
        <f>IF(ISNUMBER(MATCH(August[[#This Row],[Bemerkung]],Setup!$X$73:$X$86,0)),0,VLOOKUP(WEEKDAY(A22,2),Wochenzeiten[],3,0))</f>
        <v>#REF!</v>
      </c>
      <c r="I22" s="35" t="e">
        <f>IF(ISNUMBER(LOOKUP(August[[#This Row],[Bemerkung]],Setup!$X$71:$X87)),0,August[[#This Row],[Ende]]-August[[#This Row],[Beginn]]-August[[#This Row],[Pause]]-August[[#This Row],[Berechnungshilfe1]])</f>
        <v>#REF!</v>
      </c>
    </row>
    <row r="23" spans="1:9" ht="12.95" customHeight="1" x14ac:dyDescent="0.2">
      <c r="A23" s="53">
        <f t="shared" si="1"/>
        <v>43692</v>
      </c>
      <c r="B23" s="28">
        <v>0</v>
      </c>
      <c r="C23" s="28">
        <v>0</v>
      </c>
      <c r="D23" s="47">
        <f t="shared" si="0"/>
        <v>0</v>
      </c>
      <c r="E23" s="31">
        <f>August[[#This Row],[Ende]]-August[[#This Row],[Beginn]]-August[[#This Row],[Pause]]</f>
        <v>0</v>
      </c>
      <c r="F23" s="33">
        <f>$F$6+SUM($E$8:August[[#This Row],[Arbeitszeit]])</f>
        <v>-11.666666666666666</v>
      </c>
      <c r="G23" s="32"/>
      <c r="H23" s="35" t="e">
        <f>IF(ISNUMBER(MATCH(August[[#This Row],[Bemerkung]],Setup!$X$73:$X$86,0)),0,VLOOKUP(WEEKDAY(A23,2),Wochenzeiten[],3,0))</f>
        <v>#REF!</v>
      </c>
      <c r="I23" s="35" t="e">
        <f>IF(ISNUMBER(LOOKUP(August[[#This Row],[Bemerkung]],Setup!$X$71:$X87)),0,August[[#This Row],[Ende]]-August[[#This Row],[Beginn]]-August[[#This Row],[Pause]]-August[[#This Row],[Berechnungshilfe1]])</f>
        <v>#REF!</v>
      </c>
    </row>
    <row r="24" spans="1:9" ht="12.95" customHeight="1" x14ac:dyDescent="0.2">
      <c r="A24" s="53">
        <f t="shared" si="1"/>
        <v>43693</v>
      </c>
      <c r="B24" s="28">
        <v>0</v>
      </c>
      <c r="C24" s="28">
        <v>0</v>
      </c>
      <c r="D24" s="47">
        <f t="shared" si="0"/>
        <v>0</v>
      </c>
      <c r="E24" s="31">
        <f>August[[#This Row],[Ende]]-August[[#This Row],[Beginn]]-August[[#This Row],[Pause]]</f>
        <v>0</v>
      </c>
      <c r="F24" s="33">
        <f>$F$6+SUM($E$8:August[[#This Row],[Arbeitszeit]])</f>
        <v>-11.666666666666666</v>
      </c>
      <c r="G24" s="32"/>
      <c r="H24" s="35" t="e">
        <f>IF(ISNUMBER(MATCH(August[[#This Row],[Bemerkung]],Setup!$X$73:$X$86,0)),0,VLOOKUP(WEEKDAY(A24,2),Wochenzeiten[],3,0))</f>
        <v>#REF!</v>
      </c>
      <c r="I24" s="35" t="e">
        <f>IF(ISNUMBER(LOOKUP(August[[#This Row],[Bemerkung]],Setup!$X$71:$X88)),0,August[[#This Row],[Ende]]-August[[#This Row],[Beginn]]-August[[#This Row],[Pause]]-August[[#This Row],[Berechnungshilfe1]])</f>
        <v>#REF!</v>
      </c>
    </row>
    <row r="25" spans="1:9" ht="12.95" customHeight="1" x14ac:dyDescent="0.2">
      <c r="A25" s="53">
        <f t="shared" si="1"/>
        <v>43694</v>
      </c>
      <c r="B25" s="28">
        <v>0</v>
      </c>
      <c r="C25" s="28">
        <v>0</v>
      </c>
      <c r="D25" s="47">
        <f t="shared" si="0"/>
        <v>0</v>
      </c>
      <c r="E25" s="31">
        <f>August[[#This Row],[Ende]]-August[[#This Row],[Beginn]]-August[[#This Row],[Pause]]</f>
        <v>0</v>
      </c>
      <c r="F25" s="33">
        <f>$F$6+SUM($E$8:August[[#This Row],[Arbeitszeit]])</f>
        <v>-11.666666666666666</v>
      </c>
      <c r="G25" s="32"/>
      <c r="H25" s="35" t="e">
        <f>IF(ISNUMBER(MATCH(August[[#This Row],[Bemerkung]],Setup!$X$73:$X$86,0)),0,VLOOKUP(WEEKDAY(A25,2),Wochenzeiten[],3,0))</f>
        <v>#REF!</v>
      </c>
      <c r="I25" s="35" t="e">
        <f>IF(ISNUMBER(LOOKUP(August[[#This Row],[Bemerkung]],Setup!$X$71:$X89)),0,August[[#This Row],[Ende]]-August[[#This Row],[Beginn]]-August[[#This Row],[Pause]]-August[[#This Row],[Berechnungshilfe1]])</f>
        <v>#REF!</v>
      </c>
    </row>
    <row r="26" spans="1:9" ht="12.95" customHeight="1" x14ac:dyDescent="0.2">
      <c r="A26" s="53">
        <f t="shared" si="1"/>
        <v>43695</v>
      </c>
      <c r="B26" s="28">
        <v>0</v>
      </c>
      <c r="C26" s="28">
        <v>0</v>
      </c>
      <c r="D26" s="47">
        <f t="shared" si="0"/>
        <v>0</v>
      </c>
      <c r="E26" s="31">
        <f>August[[#This Row],[Ende]]-August[[#This Row],[Beginn]]-August[[#This Row],[Pause]]</f>
        <v>0</v>
      </c>
      <c r="F26" s="33">
        <f>$F$6+SUM($E$8:August[[#This Row],[Arbeitszeit]])</f>
        <v>-11.666666666666666</v>
      </c>
      <c r="G26" s="32"/>
      <c r="H26" s="35" t="e">
        <f>IF(ISNUMBER(MATCH(August[[#This Row],[Bemerkung]],Setup!$X$73:$X$86,0)),0,VLOOKUP(WEEKDAY(A26,2),Wochenzeiten[],3,0))</f>
        <v>#REF!</v>
      </c>
      <c r="I26" s="35" t="e">
        <f>IF(ISNUMBER(LOOKUP(August[[#This Row],[Bemerkung]],Setup!$X$71:$X90)),0,August[[#This Row],[Ende]]-August[[#This Row],[Beginn]]-August[[#This Row],[Pause]]-August[[#This Row],[Berechnungshilfe1]])</f>
        <v>#REF!</v>
      </c>
    </row>
    <row r="27" spans="1:9" ht="12.95" customHeight="1" x14ac:dyDescent="0.2">
      <c r="A27" s="53">
        <f t="shared" si="1"/>
        <v>43696</v>
      </c>
      <c r="B27" s="28">
        <v>0</v>
      </c>
      <c r="C27" s="28">
        <v>0</v>
      </c>
      <c r="D27" s="47">
        <f t="shared" si="0"/>
        <v>0</v>
      </c>
      <c r="E27" s="31">
        <f>August[[#This Row],[Ende]]-August[[#This Row],[Beginn]]-August[[#This Row],[Pause]]</f>
        <v>0</v>
      </c>
      <c r="F27" s="33">
        <f>$F$6+SUM($E$8:August[[#This Row],[Arbeitszeit]])</f>
        <v>-11.666666666666666</v>
      </c>
      <c r="G27" s="32"/>
      <c r="H27" s="35" t="e">
        <f>IF(ISNUMBER(MATCH(August[[#This Row],[Bemerkung]],Setup!$X$73:$X$86,0)),0,VLOOKUP(WEEKDAY(A27,2),Wochenzeiten[],3,0))</f>
        <v>#REF!</v>
      </c>
      <c r="I27" s="35" t="e">
        <f>IF(ISNUMBER(LOOKUP(August[[#This Row],[Bemerkung]],Setup!$X$71:$X91)),0,August[[#This Row],[Ende]]-August[[#This Row],[Beginn]]-August[[#This Row],[Pause]]-August[[#This Row],[Berechnungshilfe1]])</f>
        <v>#REF!</v>
      </c>
    </row>
    <row r="28" spans="1:9" ht="12.95" customHeight="1" x14ac:dyDescent="0.2">
      <c r="A28" s="53">
        <f t="shared" si="1"/>
        <v>43697</v>
      </c>
      <c r="B28" s="28">
        <v>0</v>
      </c>
      <c r="C28" s="28">
        <v>0</v>
      </c>
      <c r="D28" s="47">
        <f t="shared" si="0"/>
        <v>0</v>
      </c>
      <c r="E28" s="31">
        <f>August[[#This Row],[Ende]]-August[[#This Row],[Beginn]]-August[[#This Row],[Pause]]</f>
        <v>0</v>
      </c>
      <c r="F28" s="33">
        <f>$F$6+SUM($E$8:August[[#This Row],[Arbeitszeit]])</f>
        <v>-11.666666666666666</v>
      </c>
      <c r="G28" s="32"/>
      <c r="H28" s="35" t="e">
        <f>IF(ISNUMBER(MATCH(August[[#This Row],[Bemerkung]],Setup!$X$73:$X$86,0)),0,VLOOKUP(WEEKDAY(A28,2),Wochenzeiten[],3,0))</f>
        <v>#REF!</v>
      </c>
      <c r="I28" s="35" t="e">
        <f>IF(ISNUMBER(LOOKUP(August[[#This Row],[Bemerkung]],Setup!$X$71:$X92)),0,August[[#This Row],[Ende]]-August[[#This Row],[Beginn]]-August[[#This Row],[Pause]]-August[[#This Row],[Berechnungshilfe1]])</f>
        <v>#REF!</v>
      </c>
    </row>
    <row r="29" spans="1:9" ht="12.95" customHeight="1" x14ac:dyDescent="0.2">
      <c r="A29" s="53">
        <f t="shared" si="1"/>
        <v>43698</v>
      </c>
      <c r="B29" s="28">
        <v>0</v>
      </c>
      <c r="C29" s="28">
        <v>0</v>
      </c>
      <c r="D29" s="47">
        <f t="shared" si="0"/>
        <v>0</v>
      </c>
      <c r="E29" s="31">
        <f>August[[#This Row],[Ende]]-August[[#This Row],[Beginn]]-August[[#This Row],[Pause]]</f>
        <v>0</v>
      </c>
      <c r="F29" s="33">
        <f>$F$6+SUM($E$8:August[[#This Row],[Arbeitszeit]])</f>
        <v>-11.666666666666666</v>
      </c>
      <c r="G29" s="32"/>
      <c r="H29" s="35" t="e">
        <f>IF(ISNUMBER(MATCH(August[[#This Row],[Bemerkung]],Setup!$X$73:$X$86,0)),0,VLOOKUP(WEEKDAY(A29,2),Wochenzeiten[],3,0))</f>
        <v>#REF!</v>
      </c>
      <c r="I29" s="35" t="e">
        <f>IF(ISNUMBER(LOOKUP(August[[#This Row],[Bemerkung]],Setup!$X$71:$X93)),0,August[[#This Row],[Ende]]-August[[#This Row],[Beginn]]-August[[#This Row],[Pause]]-August[[#This Row],[Berechnungshilfe1]])</f>
        <v>#REF!</v>
      </c>
    </row>
    <row r="30" spans="1:9" ht="12.95" customHeight="1" x14ac:dyDescent="0.2">
      <c r="A30" s="53">
        <f t="shared" si="1"/>
        <v>43699</v>
      </c>
      <c r="B30" s="28">
        <v>0</v>
      </c>
      <c r="C30" s="28">
        <v>0</v>
      </c>
      <c r="D30" s="47">
        <f t="shared" si="0"/>
        <v>0</v>
      </c>
      <c r="E30" s="31">
        <f>August[[#This Row],[Ende]]-August[[#This Row],[Beginn]]-August[[#This Row],[Pause]]</f>
        <v>0</v>
      </c>
      <c r="F30" s="33">
        <f>$F$6+SUM($E$8:August[[#This Row],[Arbeitszeit]])</f>
        <v>-11.666666666666666</v>
      </c>
      <c r="G30" s="32"/>
      <c r="H30" s="35" t="e">
        <f>IF(ISNUMBER(MATCH(August[[#This Row],[Bemerkung]],Setup!$X$73:$X$86,0)),0,VLOOKUP(WEEKDAY(A30,2),Wochenzeiten[],3,0))</f>
        <v>#REF!</v>
      </c>
      <c r="I30" s="35" t="e">
        <f>IF(ISNUMBER(LOOKUP(August[[#This Row],[Bemerkung]],Setup!$X$71:$X94)),0,August[[#This Row],[Ende]]-August[[#This Row],[Beginn]]-August[[#This Row],[Pause]]-August[[#This Row],[Berechnungshilfe1]])</f>
        <v>#REF!</v>
      </c>
    </row>
    <row r="31" spans="1:9" ht="12.95" customHeight="1" x14ac:dyDescent="0.2">
      <c r="A31" s="53">
        <f t="shared" si="1"/>
        <v>43700</v>
      </c>
      <c r="B31" s="28">
        <v>0</v>
      </c>
      <c r="C31" s="28">
        <v>0</v>
      </c>
      <c r="D31" s="47">
        <f t="shared" si="0"/>
        <v>0</v>
      </c>
      <c r="E31" s="31">
        <f>August[[#This Row],[Ende]]-August[[#This Row],[Beginn]]-August[[#This Row],[Pause]]</f>
        <v>0</v>
      </c>
      <c r="F31" s="33">
        <f>$F$6+SUM($E$8:August[[#This Row],[Arbeitszeit]])</f>
        <v>-11.666666666666666</v>
      </c>
      <c r="G31" s="32"/>
      <c r="H31" s="35" t="e">
        <f>IF(ISNUMBER(MATCH(August[[#This Row],[Bemerkung]],Setup!$X$73:$X$86,0)),0,VLOOKUP(WEEKDAY(A31,2),Wochenzeiten[],3,0))</f>
        <v>#REF!</v>
      </c>
      <c r="I31" s="35" t="e">
        <f>IF(ISNUMBER(LOOKUP(August[[#This Row],[Bemerkung]],Setup!$X$71:$X95)),0,August[[#This Row],[Ende]]-August[[#This Row],[Beginn]]-August[[#This Row],[Pause]]-August[[#This Row],[Berechnungshilfe1]])</f>
        <v>#REF!</v>
      </c>
    </row>
    <row r="32" spans="1:9" ht="12.95" customHeight="1" x14ac:dyDescent="0.2">
      <c r="A32" s="53">
        <f t="shared" si="1"/>
        <v>43701</v>
      </c>
      <c r="B32" s="28">
        <v>0</v>
      </c>
      <c r="C32" s="28">
        <v>0</v>
      </c>
      <c r="D32" s="47">
        <f t="shared" si="0"/>
        <v>0</v>
      </c>
      <c r="E32" s="31">
        <f>August[[#This Row],[Ende]]-August[[#This Row],[Beginn]]-August[[#This Row],[Pause]]</f>
        <v>0</v>
      </c>
      <c r="F32" s="33">
        <f>$F$6+SUM($E$8:August[[#This Row],[Arbeitszeit]])</f>
        <v>-11.666666666666666</v>
      </c>
      <c r="G32" s="32"/>
      <c r="H32" s="35" t="e">
        <f>IF(ISNUMBER(MATCH(August[[#This Row],[Bemerkung]],Setup!$X$73:$X$86,0)),0,VLOOKUP(WEEKDAY(A32,2),Wochenzeiten[],3,0))</f>
        <v>#REF!</v>
      </c>
      <c r="I32" s="35" t="e">
        <f>IF(ISNUMBER(LOOKUP(August[[#This Row],[Bemerkung]],Setup!$X$71:$X96)),0,August[[#This Row],[Ende]]-August[[#This Row],[Beginn]]-August[[#This Row],[Pause]]-August[[#This Row],[Berechnungshilfe1]])</f>
        <v>#REF!</v>
      </c>
    </row>
    <row r="33" spans="1:9" ht="12.95" customHeight="1" x14ac:dyDescent="0.2">
      <c r="A33" s="53">
        <f t="shared" si="1"/>
        <v>43702</v>
      </c>
      <c r="B33" s="28">
        <v>0</v>
      </c>
      <c r="C33" s="28">
        <v>0</v>
      </c>
      <c r="D33" s="47">
        <f t="shared" si="0"/>
        <v>0</v>
      </c>
      <c r="E33" s="31">
        <f>August[[#This Row],[Ende]]-August[[#This Row],[Beginn]]-August[[#This Row],[Pause]]</f>
        <v>0</v>
      </c>
      <c r="F33" s="33">
        <f>$F$6+SUM($E$8:August[[#This Row],[Arbeitszeit]])</f>
        <v>-11.666666666666666</v>
      </c>
      <c r="G33" s="32"/>
      <c r="H33" s="35" t="e">
        <f>IF(ISNUMBER(MATCH(August[[#This Row],[Bemerkung]],Setup!$X$73:$X$86,0)),0,VLOOKUP(WEEKDAY(A33,2),Wochenzeiten[],3,0))</f>
        <v>#REF!</v>
      </c>
      <c r="I33" s="35" t="e">
        <f>IF(ISNUMBER(LOOKUP(August[[#This Row],[Bemerkung]],Setup!$X$71:$X97)),0,August[[#This Row],[Ende]]-August[[#This Row],[Beginn]]-August[[#This Row],[Pause]]-August[[#This Row],[Berechnungshilfe1]])</f>
        <v>#REF!</v>
      </c>
    </row>
    <row r="34" spans="1:9" ht="12.95" customHeight="1" x14ac:dyDescent="0.2">
      <c r="A34" s="53">
        <f t="shared" si="1"/>
        <v>43703</v>
      </c>
      <c r="B34" s="28">
        <v>0</v>
      </c>
      <c r="C34" s="28">
        <v>0</v>
      </c>
      <c r="D34" s="47">
        <f t="shared" si="0"/>
        <v>0</v>
      </c>
      <c r="E34" s="31">
        <f>August[[#This Row],[Ende]]-August[[#This Row],[Beginn]]-August[[#This Row],[Pause]]</f>
        <v>0</v>
      </c>
      <c r="F34" s="33">
        <f>$F$6+SUM($E$8:August[[#This Row],[Arbeitszeit]])</f>
        <v>-11.666666666666666</v>
      </c>
      <c r="G34" s="32"/>
      <c r="H34" s="35" t="e">
        <f>IF(ISNUMBER(MATCH(August[[#This Row],[Bemerkung]],Setup!$X$73:$X$86,0)),0,VLOOKUP(WEEKDAY(A34,2),Wochenzeiten[],3,0))</f>
        <v>#REF!</v>
      </c>
      <c r="I34" s="35" t="e">
        <f>IF(ISNUMBER(LOOKUP(August[[#This Row],[Bemerkung]],Setup!$X$71:$X98)),0,August[[#This Row],[Ende]]-August[[#This Row],[Beginn]]-August[[#This Row],[Pause]]-August[[#This Row],[Berechnungshilfe1]])</f>
        <v>#REF!</v>
      </c>
    </row>
    <row r="35" spans="1:9" ht="12.75" customHeight="1" x14ac:dyDescent="0.2">
      <c r="A35" s="53">
        <f t="shared" si="1"/>
        <v>43704</v>
      </c>
      <c r="B35" s="28">
        <v>0</v>
      </c>
      <c r="C35" s="28">
        <v>0</v>
      </c>
      <c r="D35" s="47">
        <f t="shared" si="0"/>
        <v>0</v>
      </c>
      <c r="E35" s="31">
        <f>August[[#This Row],[Ende]]-August[[#This Row],[Beginn]]-August[[#This Row],[Pause]]</f>
        <v>0</v>
      </c>
      <c r="F35" s="33">
        <f>$F$6+SUM($E$8:August[[#This Row],[Arbeitszeit]])</f>
        <v>-11.666666666666666</v>
      </c>
      <c r="G35" s="32"/>
      <c r="H35" s="35" t="e">
        <f>IF(ISNUMBER(MATCH(August[[#This Row],[Bemerkung]],Setup!$X$73:$X$86,0)),0,VLOOKUP(WEEKDAY(A35,2),Wochenzeiten[],3,0))</f>
        <v>#REF!</v>
      </c>
      <c r="I35" s="35" t="e">
        <f>IF(ISNUMBER(LOOKUP(August[[#This Row],[Bemerkung]],Setup!$X$71:$X99)),0,August[[#This Row],[Ende]]-August[[#This Row],[Beginn]]-August[[#This Row],[Pause]]-August[[#This Row],[Berechnungshilfe1]])</f>
        <v>#REF!</v>
      </c>
    </row>
    <row r="36" spans="1:9" ht="12.75" customHeight="1" x14ac:dyDescent="0.2">
      <c r="A36" s="53">
        <f t="shared" si="1"/>
        <v>43705</v>
      </c>
      <c r="B36" s="28">
        <v>0</v>
      </c>
      <c r="C36" s="28">
        <v>0</v>
      </c>
      <c r="D36" s="47">
        <f t="shared" si="0"/>
        <v>0</v>
      </c>
      <c r="E36" s="31">
        <f>August[[#This Row],[Ende]]-August[[#This Row],[Beginn]]-August[[#This Row],[Pause]]</f>
        <v>0</v>
      </c>
      <c r="F36" s="33">
        <f>$F$6+SUM($E$8:August[[#This Row],[Arbeitszeit]])</f>
        <v>-11.666666666666666</v>
      </c>
      <c r="G36" s="32"/>
      <c r="H36" s="35" t="e">
        <f>IF(ISNUMBER(MATCH(August[[#This Row],[Bemerkung]],Setup!$X$73:$X$86,0)),0,VLOOKUP(WEEKDAY(A36,2),Wochenzeiten[],3,0))</f>
        <v>#REF!</v>
      </c>
      <c r="I36" s="35" t="e">
        <f>IF(ISNUMBER(LOOKUP(August[[#This Row],[Bemerkung]],Setup!$X$71:$X100)),0,August[[#This Row],[Ende]]-August[[#This Row],[Beginn]]-August[[#This Row],[Pause]]-August[[#This Row],[Berechnungshilfe1]])</f>
        <v>#REF!</v>
      </c>
    </row>
    <row r="37" spans="1:9" ht="12.75" customHeight="1" x14ac:dyDescent="0.2">
      <c r="A37" s="53">
        <f t="shared" si="1"/>
        <v>43706</v>
      </c>
      <c r="B37" s="28">
        <v>0</v>
      </c>
      <c r="C37" s="28">
        <v>0</v>
      </c>
      <c r="D37" s="47">
        <f t="shared" si="0"/>
        <v>0</v>
      </c>
      <c r="E37" s="31">
        <f>August[[#This Row],[Ende]]-August[[#This Row],[Beginn]]-August[[#This Row],[Pause]]</f>
        <v>0</v>
      </c>
      <c r="F37" s="33">
        <f>$F$6+SUM($E$8:August[[#This Row],[Arbeitszeit]])</f>
        <v>-11.666666666666666</v>
      </c>
      <c r="G37" s="32"/>
      <c r="H37" s="35" t="e">
        <f>IF(ISNUMBER(MATCH(August[[#This Row],[Bemerkung]],Setup!$X$73:$X$86,0)),0,VLOOKUP(WEEKDAY(A37,2),Wochenzeiten[],3,0))</f>
        <v>#REF!</v>
      </c>
      <c r="I37" s="35" t="e">
        <f>IF(ISNUMBER(LOOKUP(August[[#This Row],[Bemerkung]],Setup!$X$71:$X101)),0,August[[#This Row],[Ende]]-August[[#This Row],[Beginn]]-August[[#This Row],[Pause]]-August[[#This Row],[Berechnungshilfe1]])</f>
        <v>#REF!</v>
      </c>
    </row>
    <row r="38" spans="1:9" ht="12.75" customHeight="1" x14ac:dyDescent="0.2">
      <c r="A38" s="53">
        <f t="shared" si="1"/>
        <v>43707</v>
      </c>
      <c r="B38" s="28">
        <v>0</v>
      </c>
      <c r="C38" s="28">
        <v>0</v>
      </c>
      <c r="D38" s="47">
        <f t="shared" si="0"/>
        <v>0</v>
      </c>
      <c r="E38" s="31">
        <f>August[[#This Row],[Ende]]-August[[#This Row],[Beginn]]-August[[#This Row],[Pause]]</f>
        <v>0</v>
      </c>
      <c r="F38" s="33">
        <f>$F$6+SUM($E$8:August[[#This Row],[Arbeitszeit]])</f>
        <v>-11.666666666666666</v>
      </c>
      <c r="G38" s="32"/>
      <c r="H38" s="35" t="e">
        <f>IF(ISNUMBER(MATCH(August[[#This Row],[Bemerkung]],Setup!$X$73:$X$86,0)),0,VLOOKUP(WEEKDAY(A38,2),Wochenzeiten[],3,0))</f>
        <v>#REF!</v>
      </c>
      <c r="I38" s="35" t="e">
        <f>IF(ISNUMBER(LOOKUP(August[[#This Row],[Bemerkung]],Setup!$X$71:$X102)),0,August[[#This Row],[Ende]]-August[[#This Row],[Beginn]]-August[[#This Row],[Pause]]-August[[#This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SUM(August[Arbeitszeit])+$F$6-E47</f>
        <v>-13.333333333333332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9" priority="3">
      <formula>WEEKDAY($A8,2)&gt;5</formula>
    </cfRule>
    <cfRule type="cellIs" dxfId="8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36</vt:i4>
      </vt:variant>
    </vt:vector>
  </HeadingPairs>
  <TitlesOfParts>
    <vt:vector size="49" baseType="lpstr">
      <vt:lpstr>Setup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April!Print_Area_0</vt:lpstr>
      <vt:lpstr>August!Print_Area_0</vt:lpstr>
      <vt:lpstr>Dezember!Print_Area_0</vt:lpstr>
      <vt:lpstr>Februar!Print_Area_0</vt:lpstr>
      <vt:lpstr>Januar!Print_Area_0</vt:lpstr>
      <vt:lpstr>Juli!Print_Area_0</vt:lpstr>
      <vt:lpstr>Juni!Print_Area_0</vt:lpstr>
      <vt:lpstr>Mai!Print_Area_0</vt:lpstr>
      <vt:lpstr>März!Print_Area_0</vt:lpstr>
      <vt:lpstr>November!Print_Area_0</vt:lpstr>
      <vt:lpstr>Oktober!Print_Area_0</vt:lpstr>
      <vt:lpstr>September!Print_Area_0</vt:lpstr>
      <vt:lpstr>April!Print_Area_0_0</vt:lpstr>
      <vt:lpstr>August!Print_Area_0_0</vt:lpstr>
      <vt:lpstr>Dezember!Print_Area_0_0</vt:lpstr>
      <vt:lpstr>Februar!Print_Area_0_0</vt:lpstr>
      <vt:lpstr>Januar!Print_Area_0_0</vt:lpstr>
      <vt:lpstr>Juli!Print_Area_0_0</vt:lpstr>
      <vt:lpstr>Juni!Print_Area_0_0</vt:lpstr>
      <vt:lpstr>Mai!Print_Area_0_0</vt:lpstr>
      <vt:lpstr>März!Print_Area_0_0</vt:lpstr>
      <vt:lpstr>November!Print_Area_0_0</vt:lpstr>
      <vt:lpstr>Oktober!Print_Area_0_0</vt:lpstr>
      <vt:lpstr>September!Print_Area_0_0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Benze</dc:creator>
  <dc:description/>
  <cp:lastModifiedBy>Administrator</cp:lastModifiedBy>
  <cp:revision>3</cp:revision>
  <cp:lastPrinted>2014-10-23T12:54:08Z</cp:lastPrinted>
  <dcterms:created xsi:type="dcterms:W3CDTF">2014-10-22T12:04:40Z</dcterms:created>
  <dcterms:modified xsi:type="dcterms:W3CDTF">2023-01-03T09:27:33Z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